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ob-my.sharepoint.com/personal/foheb_bristol_ac_uk/Documents/"/>
    </mc:Choice>
  </mc:AlternateContent>
  <xr:revisionPtr revIDLastSave="0" documentId="8_{9D3BA914-01CE-426D-A009-BA4654AF0E2E}" xr6:coauthVersionLast="46" xr6:coauthVersionMax="46" xr10:uidLastSave="{00000000-0000-0000-0000-000000000000}"/>
  <workbookProtection workbookAlgorithmName="SHA-512" workbookHashValue="0MDTAsIxcx1nlOlFfBNPdAnESDVqaMMBnxTVLv9d0WiZBtKewRG9GnNsjQ0M/KElXUVJlLEB6dQW3k5WLLb9rw==" workbookSaltValue="cS4olfdtw2Go4ojIyXaAZQ==" workbookSpinCount="100000" lockStructure="1"/>
  <bookViews>
    <workbookView xWindow="28680" yWindow="-120" windowWidth="29040" windowHeight="15840" xr2:uid="{50B7A909-EB63-447C-A322-179811F13253}"/>
  </bookViews>
  <sheets>
    <sheet name="User Inputs" sheetId="13" r:id="rId1"/>
    <sheet name="Upper and Lower Limits" sheetId="2" state="hidden" r:id="rId2"/>
    <sheet name="Sensitivity Analysis" sheetId="11" state="hidden" r:id="rId3"/>
    <sheet name="Output - Chart" sheetId="3" state="hidden" r:id="rId4"/>
  </sheets>
  <definedNames>
    <definedName name="AltCon_txt">'User Inputs'!$E$2</definedName>
    <definedName name="baseline_estimate">'Output - Chart'!$O$14</definedName>
    <definedName name="chrt_legend">'Sensitivity Analysis'!$G$76:$G$80</definedName>
    <definedName name="chrt_legend_format">'Sensitivity Analysis'!$F$71</definedName>
    <definedName name="chrt_xaxis">'Sensitivity Analysis'!$H$75:$R$75</definedName>
    <definedName name="chrt_xaxis_format">'Sensitivity Analysis'!$F$72</definedName>
    <definedName name="default_range">'Upper and Lower Limits'!$G$17:$I$25</definedName>
    <definedName name="legend_txt">'User Inputs'!$E$5</definedName>
    <definedName name="List_Models">'Upper and Lower Limits'!$D$13:$D$15</definedName>
    <definedName name="List_variables">'Sensitivity Analysis'!$E$8:$E$16</definedName>
    <definedName name="List_YesNo">'Upper and Lower Limits'!$D$17:$D$18</definedName>
    <definedName name="Paste_cell">'User Inputs'!$E$8</definedName>
    <definedName name="X_axis_txt">'User Inputs'!$E$4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M5" i="2"/>
  <c r="P5" i="2"/>
  <c r="Q5" i="2" s="1"/>
  <c r="R5" i="2" s="1"/>
  <c r="J6" i="2"/>
  <c r="P6" i="2" s="1"/>
  <c r="M6" i="2"/>
  <c r="Q6" i="2"/>
  <c r="R6" i="2"/>
  <c r="J8" i="2"/>
  <c r="P8" i="2" s="1"/>
  <c r="M8" i="2"/>
  <c r="Q8" i="2"/>
  <c r="R8" i="2"/>
  <c r="J9" i="2"/>
  <c r="M9" i="2"/>
  <c r="D24" i="2" l="1"/>
  <c r="F9" i="2" l="1"/>
  <c r="F8" i="2"/>
  <c r="F6" i="2"/>
  <c r="E14" i="11" s="1"/>
  <c r="F5" i="2"/>
  <c r="E13" i="11" s="1"/>
  <c r="V3" i="2"/>
  <c r="V8" i="2" s="1"/>
  <c r="U3" i="2"/>
  <c r="T3" i="2"/>
  <c r="E15" i="11" l="1"/>
  <c r="E16" i="11"/>
  <c r="D23" i="2"/>
  <c r="D20" i="2"/>
  <c r="D21" i="2"/>
  <c r="V9" i="2"/>
  <c r="V6" i="2"/>
  <c r="U8" i="2"/>
  <c r="U6" i="2"/>
  <c r="U9" i="2"/>
  <c r="U5" i="2"/>
  <c r="V5" i="2"/>
  <c r="E39" i="11" l="1"/>
  <c r="G5" i="2" l="1"/>
  <c r="G6" i="2"/>
  <c r="G7" i="2"/>
  <c r="G8" i="2"/>
  <c r="G9" i="2"/>
  <c r="N2" i="3" l="1"/>
  <c r="O4" i="3"/>
  <c r="O3" i="3"/>
  <c r="C5" i="13" l="1"/>
  <c r="N4" i="3" s="1"/>
  <c r="C4" i="13"/>
  <c r="N3" i="3" s="1"/>
  <c r="S7" i="2"/>
  <c r="D22" i="2" s="1"/>
  <c r="P10" i="2"/>
  <c r="T9" i="2"/>
  <c r="T6" i="2"/>
  <c r="N10" i="2" l="1"/>
  <c r="J10" i="2"/>
  <c r="M10" i="2"/>
  <c r="I10" i="2"/>
  <c r="L10" i="2"/>
  <c r="H10" i="2"/>
  <c r="O10" i="2"/>
  <c r="K10" i="2"/>
  <c r="G10" i="2"/>
  <c r="T8" i="2"/>
  <c r="T5" i="2"/>
  <c r="E10" i="11"/>
  <c r="Q10" i="2"/>
  <c r="R10" i="2"/>
  <c r="O2" i="3"/>
  <c r="I2" i="13" s="1"/>
  <c r="D10" i="11" l="1"/>
  <c r="F9" i="11"/>
  <c r="D14" i="11" l="1"/>
  <c r="H10" i="11" l="1"/>
  <c r="G10" i="11"/>
  <c r="K10" i="11" l="1"/>
  <c r="F10" i="11"/>
  <c r="BO10" i="11" l="1"/>
  <c r="BI10" i="11"/>
  <c r="AJ10" i="11"/>
  <c r="T10" i="11"/>
  <c r="BH10" i="11"/>
  <c r="AQ10" i="11"/>
  <c r="BF10" i="11"/>
  <c r="N10" i="11"/>
  <c r="AK10" i="11"/>
  <c r="BG10" i="11"/>
  <c r="BE10" i="11"/>
  <c r="P10" i="11"/>
  <c r="AM10" i="11"/>
  <c r="Q10" i="11"/>
  <c r="AL10" i="11"/>
  <c r="BK10" i="11"/>
  <c r="R10" i="11"/>
  <c r="BJ10" i="11"/>
  <c r="AR10" i="11"/>
  <c r="L10" i="11"/>
  <c r="AI10" i="11"/>
  <c r="S10" i="11"/>
  <c r="AO10" i="11"/>
  <c r="BL10" i="11"/>
  <c r="U10" i="11"/>
  <c r="AP10" i="11"/>
  <c r="BM10" i="11"/>
  <c r="BD10" i="11"/>
  <c r="AN10" i="11"/>
  <c r="BN10" i="11"/>
  <c r="O10" i="11"/>
  <c r="V10" i="11"/>
  <c r="M10" i="11"/>
  <c r="AH10" i="11"/>
  <c r="I10" i="11"/>
  <c r="Z10" i="11" s="1"/>
  <c r="J10" i="11"/>
  <c r="AZ10" i="11" s="1"/>
  <c r="BB10" i="11" l="1"/>
  <c r="BC10" i="11"/>
  <c r="AS10" i="11"/>
  <c r="AU10" i="11"/>
  <c r="AY10" i="11"/>
  <c r="AV10" i="11"/>
  <c r="AX10" i="11"/>
  <c r="BA10" i="11"/>
  <c r="X10" i="11"/>
  <c r="W10" i="11"/>
  <c r="AF10" i="11"/>
  <c r="Y10" i="11"/>
  <c r="AE10" i="11"/>
  <c r="AB10" i="11"/>
  <c r="AA10" i="11"/>
  <c r="AG10" i="11"/>
  <c r="AD10" i="11"/>
  <c r="AC10" i="11"/>
  <c r="AW10" i="11"/>
  <c r="AT10" i="11"/>
  <c r="H40" i="11"/>
  <c r="G40" i="11"/>
  <c r="K58" i="11" l="1"/>
  <c r="F41" i="11"/>
  <c r="H39" i="11"/>
  <c r="H47" i="11" s="1"/>
  <c r="G39" i="11"/>
  <c r="G47" i="11" s="1"/>
  <c r="F39" i="11"/>
  <c r="F47" i="11" s="1"/>
  <c r="E17" i="11"/>
  <c r="D16" i="11"/>
  <c r="D15" i="11"/>
  <c r="D13" i="11"/>
  <c r="H12" i="11"/>
  <c r="H18" i="11" s="1"/>
  <c r="G12" i="11"/>
  <c r="G18" i="11" s="1"/>
  <c r="F12" i="11"/>
  <c r="F18" i="11" s="1"/>
  <c r="E12" i="11"/>
  <c r="D12" i="11" s="1"/>
  <c r="H9" i="11"/>
  <c r="G9" i="11"/>
  <c r="E9" i="11"/>
  <c r="D9" i="11" s="1"/>
  <c r="H11" i="11"/>
  <c r="G11" i="11"/>
  <c r="F11" i="11"/>
  <c r="E11" i="11"/>
  <c r="H8" i="11"/>
  <c r="G8" i="11"/>
  <c r="F8" i="11"/>
  <c r="E8" i="11"/>
  <c r="D8" i="11" s="1"/>
  <c r="E42" i="11" l="1"/>
  <c r="D17" i="11"/>
  <c r="D11" i="11"/>
  <c r="BO9" i="11"/>
  <c r="BO8" i="11"/>
  <c r="G48" i="11"/>
  <c r="G55" i="11" s="1"/>
  <c r="H48" i="11"/>
  <c r="H55" i="11" s="1"/>
  <c r="I39" i="11"/>
  <c r="I47" i="11" s="1"/>
  <c r="I8" i="11"/>
  <c r="I12" i="11"/>
  <c r="I18" i="11" s="1"/>
  <c r="J11" i="11"/>
  <c r="J9" i="11"/>
  <c r="K40" i="11"/>
  <c r="K8" i="11"/>
  <c r="K9" i="11"/>
  <c r="AQ9" i="11" s="1"/>
  <c r="K12" i="11"/>
  <c r="K18" i="11" s="1"/>
  <c r="I11" i="11"/>
  <c r="J8" i="11"/>
  <c r="J12" i="11"/>
  <c r="J18" i="11" s="1"/>
  <c r="K11" i="11"/>
  <c r="I9" i="11"/>
  <c r="K39" i="11"/>
  <c r="F48" i="11"/>
  <c r="F49" i="11" s="1"/>
  <c r="J39" i="11"/>
  <c r="J47" i="11" s="1"/>
  <c r="U12" i="11" l="1"/>
  <c r="U18" i="11" s="1"/>
  <c r="P12" i="11"/>
  <c r="P18" i="11" s="1"/>
  <c r="N12" i="11"/>
  <c r="N18" i="11" s="1"/>
  <c r="BF12" i="11"/>
  <c r="BF18" i="11" s="1"/>
  <c r="R12" i="11"/>
  <c r="R18" i="11" s="1"/>
  <c r="AO12" i="11"/>
  <c r="AO18" i="11" s="1"/>
  <c r="AR12" i="11"/>
  <c r="AR18" i="11" s="1"/>
  <c r="AQ12" i="11"/>
  <c r="AQ18" i="11" s="1"/>
  <c r="BN12" i="11"/>
  <c r="BN18" i="11" s="1"/>
  <c r="BM12" i="11"/>
  <c r="BM18" i="11" s="1"/>
  <c r="AP12" i="11"/>
  <c r="AP18" i="11" s="1"/>
  <c r="T12" i="11"/>
  <c r="T18" i="11" s="1"/>
  <c r="Q12" i="11"/>
  <c r="Q18" i="11" s="1"/>
  <c r="AH12" i="11"/>
  <c r="AH18" i="11" s="1"/>
  <c r="BE12" i="11"/>
  <c r="BE18" i="11" s="1"/>
  <c r="BD12" i="11"/>
  <c r="BD18" i="11" s="1"/>
  <c r="O12" i="11"/>
  <c r="O18" i="11" s="1"/>
  <c r="AL12" i="11"/>
  <c r="AL18" i="11" s="1"/>
  <c r="BK12" i="11"/>
  <c r="BK18" i="11" s="1"/>
  <c r="AM12" i="11"/>
  <c r="AM18" i="11" s="1"/>
  <c r="S12" i="11"/>
  <c r="S18" i="11" s="1"/>
  <c r="BJ12" i="11"/>
  <c r="BJ18" i="11" s="1"/>
  <c r="AJ12" i="11"/>
  <c r="AJ18" i="11" s="1"/>
  <c r="BH12" i="11"/>
  <c r="BH18" i="11" s="1"/>
  <c r="V12" i="11"/>
  <c r="V18" i="11" s="1"/>
  <c r="AK12" i="11"/>
  <c r="AK18" i="11" s="1"/>
  <c r="BG12" i="11"/>
  <c r="BG18" i="11" s="1"/>
  <c r="M12" i="11"/>
  <c r="M18" i="11" s="1"/>
  <c r="BI12" i="11"/>
  <c r="BI18" i="11" s="1"/>
  <c r="AI12" i="11"/>
  <c r="AI18" i="11" s="1"/>
  <c r="L12" i="11"/>
  <c r="L18" i="11" s="1"/>
  <c r="AN12" i="11"/>
  <c r="AN18" i="11" s="1"/>
  <c r="BL12" i="11"/>
  <c r="BL18" i="11" s="1"/>
  <c r="AA12" i="11"/>
  <c r="AA18" i="11" s="1"/>
  <c r="AE12" i="11"/>
  <c r="AE18" i="11" s="1"/>
  <c r="AX12" i="11"/>
  <c r="AX18" i="11" s="1"/>
  <c r="BB12" i="11"/>
  <c r="BB18" i="11" s="1"/>
  <c r="AU12" i="11"/>
  <c r="AU18" i="11" s="1"/>
  <c r="AC12" i="11"/>
  <c r="AC18" i="11" s="1"/>
  <c r="BC12" i="11"/>
  <c r="BC18" i="11" s="1"/>
  <c r="X12" i="11"/>
  <c r="X18" i="11" s="1"/>
  <c r="AZ12" i="11"/>
  <c r="AZ18" i="11" s="1"/>
  <c r="AG12" i="11"/>
  <c r="AG18" i="11" s="1"/>
  <c r="AW12" i="11"/>
  <c r="AW18" i="11" s="1"/>
  <c r="Y12" i="11"/>
  <c r="Y18" i="11" s="1"/>
  <c r="AT12" i="11"/>
  <c r="AT18" i="11" s="1"/>
  <c r="AB12" i="11"/>
  <c r="AB18" i="11" s="1"/>
  <c r="Z12" i="11"/>
  <c r="Z18" i="11" s="1"/>
  <c r="BA12" i="11"/>
  <c r="BA18" i="11" s="1"/>
  <c r="W12" i="11"/>
  <c r="W18" i="11" s="1"/>
  <c r="AS12" i="11"/>
  <c r="AS18" i="11" s="1"/>
  <c r="AD12" i="11"/>
  <c r="AD18" i="11" s="1"/>
  <c r="AY12" i="11"/>
  <c r="AY18" i="11" s="1"/>
  <c r="AF12" i="11"/>
  <c r="AF18" i="11" s="1"/>
  <c r="AV12" i="11"/>
  <c r="AV18" i="11" s="1"/>
  <c r="AO9" i="11"/>
  <c r="V9" i="11"/>
  <c r="AM9" i="11"/>
  <c r="AR9" i="11"/>
  <c r="BD9" i="11"/>
  <c r="BG9" i="11"/>
  <c r="AU9" i="11"/>
  <c r="T9" i="11"/>
  <c r="U9" i="11"/>
  <c r="Q9" i="11"/>
  <c r="R9" i="11"/>
  <c r="BF9" i="11"/>
  <c r="AI9" i="11"/>
  <c r="AK9" i="11"/>
  <c r="AN9" i="11"/>
  <c r="BJ9" i="11"/>
  <c r="BE9" i="11"/>
  <c r="BI9" i="11"/>
  <c r="BN9" i="11"/>
  <c r="AE9" i="11"/>
  <c r="N9" i="11"/>
  <c r="BM9" i="11"/>
  <c r="L9" i="11"/>
  <c r="M9" i="11"/>
  <c r="BL9" i="11"/>
  <c r="S9" i="11"/>
  <c r="BK9" i="11"/>
  <c r="AJ9" i="11"/>
  <c r="P9" i="11"/>
  <c r="BH9" i="11"/>
  <c r="AL9" i="11"/>
  <c r="AH9" i="11"/>
  <c r="AP9" i="11"/>
  <c r="O9" i="11"/>
  <c r="AV9" i="11"/>
  <c r="AT9" i="11"/>
  <c r="BC9" i="11"/>
  <c r="BA9" i="11"/>
  <c r="AF9" i="11"/>
  <c r="X9" i="11"/>
  <c r="AG9" i="11"/>
  <c r="AX9" i="11"/>
  <c r="AA9" i="11"/>
  <c r="AD9" i="11"/>
  <c r="Z9" i="11"/>
  <c r="AZ9" i="11"/>
  <c r="AS9" i="11"/>
  <c r="AY9" i="11"/>
  <c r="AB9" i="11"/>
  <c r="W9" i="11"/>
  <c r="AC9" i="11"/>
  <c r="Y9" i="11"/>
  <c r="AW9" i="11"/>
  <c r="BB9" i="11"/>
  <c r="BO11" i="11"/>
  <c r="BK11" i="11"/>
  <c r="BG11" i="11"/>
  <c r="BC11" i="11"/>
  <c r="AY11" i="11"/>
  <c r="AU11" i="11"/>
  <c r="AQ11" i="11"/>
  <c r="AM11" i="11"/>
  <c r="AI11" i="11"/>
  <c r="AE11" i="11"/>
  <c r="AA11" i="11"/>
  <c r="W11" i="11"/>
  <c r="S11" i="11"/>
  <c r="O11" i="11"/>
  <c r="BL11" i="11"/>
  <c r="BF11" i="11"/>
  <c r="BA11" i="11"/>
  <c r="AV11" i="11"/>
  <c r="AP11" i="11"/>
  <c r="AK11" i="11"/>
  <c r="AF11" i="11"/>
  <c r="Z11" i="11"/>
  <c r="U11" i="11"/>
  <c r="P11" i="11"/>
  <c r="BJ11" i="11"/>
  <c r="BE11" i="11"/>
  <c r="AZ11" i="11"/>
  <c r="AT11" i="11"/>
  <c r="AO11" i="11"/>
  <c r="AJ11" i="11"/>
  <c r="AD11" i="11"/>
  <c r="Y11" i="11"/>
  <c r="T11" i="11"/>
  <c r="N11" i="11"/>
  <c r="BM11" i="11"/>
  <c r="BB11" i="11"/>
  <c r="AR11" i="11"/>
  <c r="AG11" i="11"/>
  <c r="V11" i="11"/>
  <c r="L11" i="11"/>
  <c r="BI11" i="11"/>
  <c r="AX11" i="11"/>
  <c r="AN11" i="11"/>
  <c r="AC11" i="11"/>
  <c r="R11" i="11"/>
  <c r="BH11" i="11"/>
  <c r="AW11" i="11"/>
  <c r="AL11" i="11"/>
  <c r="AB11" i="11"/>
  <c r="Q11" i="11"/>
  <c r="BN11" i="11"/>
  <c r="BD11" i="11"/>
  <c r="AS11" i="11"/>
  <c r="AH11" i="11"/>
  <c r="X11" i="11"/>
  <c r="M11" i="11"/>
  <c r="BO17" i="11"/>
  <c r="BJ8" i="11"/>
  <c r="F72" i="11"/>
  <c r="BO12" i="11"/>
  <c r="J48" i="11"/>
  <c r="I48" i="11"/>
  <c r="N8" i="11"/>
  <c r="BE8" i="11"/>
  <c r="Q8" i="11"/>
  <c r="BD8" i="11"/>
  <c r="AM8" i="11"/>
  <c r="T8" i="11"/>
  <c r="AO8" i="11"/>
  <c r="M8" i="11"/>
  <c r="AR8" i="11"/>
  <c r="L8" i="11"/>
  <c r="BK8" i="11"/>
  <c r="AI8" i="11"/>
  <c r="AX8" i="11"/>
  <c r="BM8" i="11"/>
  <c r="AK8" i="11"/>
  <c r="BL8" i="11"/>
  <c r="AN8" i="11"/>
  <c r="P8" i="11"/>
  <c r="BG8" i="11"/>
  <c r="S8" i="11"/>
  <c r="AL8" i="11"/>
  <c r="Z8" i="11"/>
  <c r="BI8" i="11"/>
  <c r="U8" i="11"/>
  <c r="BH8" i="11"/>
  <c r="AJ8" i="11"/>
  <c r="AQ8" i="11"/>
  <c r="O8" i="11"/>
  <c r="V8" i="11"/>
  <c r="AG8" i="11"/>
  <c r="AB8" i="11"/>
  <c r="AW8" i="11"/>
  <c r="AC8" i="11"/>
  <c r="AE8" i="11"/>
  <c r="AA8" i="11"/>
  <c r="AS8" i="11"/>
  <c r="AZ8" i="11"/>
  <c r="BB8" i="11"/>
  <c r="Y8" i="11"/>
  <c r="X8" i="11"/>
  <c r="W8" i="11"/>
  <c r="AD8" i="11"/>
  <c r="BA8" i="11"/>
  <c r="AF8" i="11"/>
  <c r="AV8" i="11"/>
  <c r="BC8" i="11"/>
  <c r="AT8" i="11"/>
  <c r="AY8" i="11"/>
  <c r="AU8" i="11"/>
  <c r="E65" i="11"/>
  <c r="F71" i="11"/>
  <c r="AH8" i="11"/>
  <c r="BF8" i="11"/>
  <c r="BN8" i="11"/>
  <c r="AP8" i="11"/>
  <c r="R8" i="11"/>
  <c r="F40" i="11" l="1"/>
  <c r="F14" i="11" l="1"/>
  <c r="H15" i="11"/>
  <c r="I40" i="11"/>
  <c r="I55" i="11" s="1"/>
  <c r="J40" i="11"/>
  <c r="J55" i="11" s="1"/>
  <c r="F55" i="11"/>
  <c r="F13" i="11"/>
  <c r="F15" i="11"/>
  <c r="BO15" i="11" s="1"/>
  <c r="H13" i="11"/>
  <c r="G13" i="11"/>
  <c r="G15" i="11"/>
  <c r="BO13" i="11" l="1"/>
  <c r="BO14" i="11"/>
  <c r="G41" i="11"/>
  <c r="G49" i="11" s="1"/>
  <c r="H41" i="11"/>
  <c r="H49" i="11" s="1"/>
  <c r="K13" i="11"/>
  <c r="J13" i="11"/>
  <c r="I13" i="11"/>
  <c r="H16" i="11"/>
  <c r="H19" i="11" s="1"/>
  <c r="H21" i="11" s="1"/>
  <c r="G16" i="11"/>
  <c r="G19" i="11" s="1"/>
  <c r="G21" i="11" s="1"/>
  <c r="F16" i="11"/>
  <c r="G67" i="11" s="1"/>
  <c r="G78" i="11" s="1"/>
  <c r="K15" i="11"/>
  <c r="BK15" i="11" s="1"/>
  <c r="J15" i="11"/>
  <c r="I15" i="11"/>
  <c r="G14" i="11"/>
  <c r="H14" i="11"/>
  <c r="G69" i="11" l="1"/>
  <c r="G80" i="11" s="1"/>
  <c r="G65" i="11"/>
  <c r="G76" i="11" s="1"/>
  <c r="BH13" i="11"/>
  <c r="V13" i="11"/>
  <c r="AO13" i="11"/>
  <c r="AI13" i="11"/>
  <c r="BE13" i="11"/>
  <c r="R13" i="11"/>
  <c r="BM13" i="11"/>
  <c r="P13" i="11"/>
  <c r="L13" i="11"/>
  <c r="AJ13" i="11"/>
  <c r="AP13" i="11"/>
  <c r="BK13" i="11"/>
  <c r="BL13" i="11"/>
  <c r="N13" i="11"/>
  <c r="Q13" i="11"/>
  <c r="AR13" i="11"/>
  <c r="AH13" i="11"/>
  <c r="BG13" i="11"/>
  <c r="BF13" i="11"/>
  <c r="O13" i="11"/>
  <c r="U13" i="11"/>
  <c r="AN13" i="11"/>
  <c r="AK13" i="11"/>
  <c r="BD13" i="11"/>
  <c r="BJ13" i="11"/>
  <c r="T13" i="11"/>
  <c r="M13" i="11"/>
  <c r="S13" i="11"/>
  <c r="AL13" i="11"/>
  <c r="AQ13" i="11"/>
  <c r="AM13" i="11"/>
  <c r="BN13" i="11"/>
  <c r="BI13" i="11"/>
  <c r="P15" i="11"/>
  <c r="Y15" i="11"/>
  <c r="BN15" i="11"/>
  <c r="BA13" i="11"/>
  <c r="BB13" i="11"/>
  <c r="AZ13" i="11"/>
  <c r="AW13" i="11"/>
  <c r="BC13" i="11"/>
  <c r="AV13" i="11"/>
  <c r="AY13" i="11"/>
  <c r="AS13" i="11"/>
  <c r="AX13" i="11"/>
  <c r="AU13" i="11"/>
  <c r="AT13" i="11"/>
  <c r="AF13" i="11"/>
  <c r="Z13" i="11"/>
  <c r="AG13" i="11"/>
  <c r="AA13" i="11"/>
  <c r="AC13" i="11"/>
  <c r="AB13" i="11"/>
  <c r="AE13" i="11"/>
  <c r="Y13" i="11"/>
  <c r="W13" i="11"/>
  <c r="AD13" i="11"/>
  <c r="X13" i="11"/>
  <c r="AV15" i="11"/>
  <c r="R15" i="11"/>
  <c r="AQ15" i="11"/>
  <c r="BL15" i="11"/>
  <c r="AH15" i="11"/>
  <c r="X15" i="11"/>
  <c r="BE15" i="11"/>
  <c r="AA15" i="11"/>
  <c r="AF15" i="11"/>
  <c r="AO15" i="11"/>
  <c r="AX15" i="11"/>
  <c r="BG15" i="11"/>
  <c r="AN15" i="11"/>
  <c r="BD15" i="11"/>
  <c r="Q15" i="11"/>
  <c r="AG15" i="11"/>
  <c r="AW15" i="11"/>
  <c r="BM15" i="11"/>
  <c r="Z15" i="11"/>
  <c r="AP15" i="11"/>
  <c r="BF15" i="11"/>
  <c r="S15" i="11"/>
  <c r="AI15" i="11"/>
  <c r="AY15" i="11"/>
  <c r="L15" i="11"/>
  <c r="AB15" i="11"/>
  <c r="AR15" i="11"/>
  <c r="BH15" i="11"/>
  <c r="U15" i="11"/>
  <c r="AK15" i="11"/>
  <c r="BA15" i="11"/>
  <c r="N15" i="11"/>
  <c r="AD15" i="11"/>
  <c r="AT15" i="11"/>
  <c r="BJ15" i="11"/>
  <c r="W15" i="11"/>
  <c r="AM15" i="11"/>
  <c r="BC15" i="11"/>
  <c r="T15" i="11"/>
  <c r="AJ15" i="11"/>
  <c r="AZ15" i="11"/>
  <c r="M15" i="11"/>
  <c r="AC15" i="11"/>
  <c r="AS15" i="11"/>
  <c r="BI15" i="11"/>
  <c r="V15" i="11"/>
  <c r="AL15" i="11"/>
  <c r="BB15" i="11"/>
  <c r="O15" i="11"/>
  <c r="AE15" i="11"/>
  <c r="AU15" i="11"/>
  <c r="F19" i="11"/>
  <c r="F21" i="11" s="1"/>
  <c r="BO16" i="11"/>
  <c r="BO19" i="11" s="1"/>
  <c r="O14" i="3" s="1"/>
  <c r="I14" i="11"/>
  <c r="J41" i="11"/>
  <c r="J49" i="11" s="1"/>
  <c r="K41" i="11"/>
  <c r="I41" i="11"/>
  <c r="I49" i="11" s="1"/>
  <c r="K14" i="11"/>
  <c r="BG14" i="11" s="1"/>
  <c r="K16" i="11"/>
  <c r="K19" i="11" s="1"/>
  <c r="K21" i="11" s="1"/>
  <c r="J14" i="11"/>
  <c r="J16" i="11"/>
  <c r="J19" i="11" s="1"/>
  <c r="J21" i="11" s="1"/>
  <c r="I16" i="11"/>
  <c r="I19" i="11" s="1"/>
  <c r="I21" i="11" s="1"/>
  <c r="F27" i="11" l="1"/>
  <c r="F26" i="11"/>
  <c r="G68" i="11"/>
  <c r="G79" i="11" s="1"/>
  <c r="G66" i="11"/>
  <c r="G77" i="11" s="1"/>
  <c r="BM16" i="11"/>
  <c r="BM19" i="11" s="1"/>
  <c r="BM21" i="11" s="1"/>
  <c r="BJ16" i="11"/>
  <c r="BJ19" i="11" s="1"/>
  <c r="BJ21" i="11" s="1"/>
  <c r="T16" i="11"/>
  <c r="T19" i="11" s="1"/>
  <c r="T21" i="11" s="1"/>
  <c r="P16" i="11"/>
  <c r="P19" i="11" s="1"/>
  <c r="P21" i="11" s="1"/>
  <c r="Q16" i="11"/>
  <c r="Q19" i="11" s="1"/>
  <c r="Q21" i="11" s="1"/>
  <c r="AI16" i="11"/>
  <c r="AI19" i="11" s="1"/>
  <c r="AI21" i="11" s="1"/>
  <c r="BF16" i="11"/>
  <c r="BF19" i="11" s="1"/>
  <c r="BF21" i="11" s="1"/>
  <c r="BK16" i="11"/>
  <c r="BK19" i="11" s="1"/>
  <c r="BK21" i="11" s="1"/>
  <c r="BG16" i="11"/>
  <c r="BG19" i="11" s="1"/>
  <c r="BG21" i="11" s="1"/>
  <c r="U16" i="11"/>
  <c r="U19" i="11" s="1"/>
  <c r="U21" i="11" s="1"/>
  <c r="AJ16" i="11"/>
  <c r="AJ19" i="11" s="1"/>
  <c r="AJ21" i="11" s="1"/>
  <c r="M16" i="11"/>
  <c r="M19" i="11" s="1"/>
  <c r="M21" i="11" s="1"/>
  <c r="BI16" i="11"/>
  <c r="BI19" i="11" s="1"/>
  <c r="BI21" i="11" s="1"/>
  <c r="AH16" i="11"/>
  <c r="AH19" i="11" s="1"/>
  <c r="AH21" i="11" s="1"/>
  <c r="AL16" i="11"/>
  <c r="AL19" i="11" s="1"/>
  <c r="AL21" i="11" s="1"/>
  <c r="BL16" i="11"/>
  <c r="BL19" i="11" s="1"/>
  <c r="BL21" i="11" s="1"/>
  <c r="N16" i="11"/>
  <c r="N19" i="11" s="1"/>
  <c r="N21" i="11" s="1"/>
  <c r="AM16" i="11"/>
  <c r="AM19" i="11" s="1"/>
  <c r="AM21" i="11" s="1"/>
  <c r="R16" i="11"/>
  <c r="R19" i="11" s="1"/>
  <c r="R21" i="11" s="1"/>
  <c r="BD16" i="11"/>
  <c r="BD19" i="11" s="1"/>
  <c r="BD21" i="11" s="1"/>
  <c r="V16" i="11"/>
  <c r="V19" i="11" s="1"/>
  <c r="V21" i="11" s="1"/>
  <c r="AR16" i="11"/>
  <c r="AR19" i="11" s="1"/>
  <c r="AR21" i="11" s="1"/>
  <c r="AQ16" i="11"/>
  <c r="AQ19" i="11" s="1"/>
  <c r="AQ21" i="11" s="1"/>
  <c r="L16" i="11"/>
  <c r="L19" i="11" s="1"/>
  <c r="L21" i="11" s="1"/>
  <c r="BE16" i="11"/>
  <c r="BE19" i="11" s="1"/>
  <c r="BE21" i="11" s="1"/>
  <c r="AN16" i="11"/>
  <c r="AN19" i="11" s="1"/>
  <c r="AN21" i="11" s="1"/>
  <c r="AO16" i="11"/>
  <c r="AO19" i="11" s="1"/>
  <c r="AO21" i="11" s="1"/>
  <c r="BN16" i="11"/>
  <c r="BN19" i="11" s="1"/>
  <c r="BN21" i="11" s="1"/>
  <c r="AK16" i="11"/>
  <c r="AK19" i="11" s="1"/>
  <c r="AK21" i="11" s="1"/>
  <c r="S16" i="11"/>
  <c r="S19" i="11" s="1"/>
  <c r="S21" i="11" s="1"/>
  <c r="BH16" i="11"/>
  <c r="BH19" i="11" s="1"/>
  <c r="BH21" i="11" s="1"/>
  <c r="AP16" i="11"/>
  <c r="AP19" i="11" s="1"/>
  <c r="AP21" i="11" s="1"/>
  <c r="O16" i="11"/>
  <c r="O19" i="11" s="1"/>
  <c r="O21" i="11" s="1"/>
  <c r="AD16" i="11"/>
  <c r="AD19" i="11" s="1"/>
  <c r="AD21" i="11" s="1"/>
  <c r="AT16" i="11"/>
  <c r="AT19" i="11" s="1"/>
  <c r="AT21" i="11" s="1"/>
  <c r="AF16" i="11"/>
  <c r="AF19" i="11" s="1"/>
  <c r="AF21" i="11" s="1"/>
  <c r="AX16" i="11"/>
  <c r="AX19" i="11" s="1"/>
  <c r="AX21" i="11" s="1"/>
  <c r="AU16" i="11"/>
  <c r="AU19" i="11" s="1"/>
  <c r="AU21" i="11" s="1"/>
  <c r="BA16" i="11"/>
  <c r="BA19" i="11" s="1"/>
  <c r="BA21" i="11" s="1"/>
  <c r="W16" i="11"/>
  <c r="W19" i="11" s="1"/>
  <c r="W21" i="11" s="1"/>
  <c r="AE16" i="11"/>
  <c r="AE19" i="11" s="1"/>
  <c r="AE21" i="11" s="1"/>
  <c r="AC16" i="11"/>
  <c r="AC19" i="11" s="1"/>
  <c r="AC21" i="11" s="1"/>
  <c r="AB16" i="11"/>
  <c r="AB19" i="11" s="1"/>
  <c r="AB21" i="11" s="1"/>
  <c r="AA16" i="11"/>
  <c r="AA19" i="11" s="1"/>
  <c r="AA21" i="11" s="1"/>
  <c r="AY16" i="11"/>
  <c r="AY19" i="11" s="1"/>
  <c r="AY21" i="11" s="1"/>
  <c r="AW16" i="11"/>
  <c r="AW19" i="11" s="1"/>
  <c r="AW21" i="11" s="1"/>
  <c r="BB16" i="11"/>
  <c r="BB19" i="11" s="1"/>
  <c r="BB21" i="11" s="1"/>
  <c r="X16" i="11"/>
  <c r="X19" i="11" s="1"/>
  <c r="X21" i="11" s="1"/>
  <c r="AZ16" i="11"/>
  <c r="AZ19" i="11" s="1"/>
  <c r="AZ21" i="11" s="1"/>
  <c r="Z16" i="11"/>
  <c r="Z19" i="11" s="1"/>
  <c r="Z21" i="11" s="1"/>
  <c r="AV16" i="11"/>
  <c r="AV19" i="11" s="1"/>
  <c r="AV21" i="11" s="1"/>
  <c r="AS16" i="11"/>
  <c r="AS19" i="11" s="1"/>
  <c r="AS21" i="11" s="1"/>
  <c r="AG16" i="11"/>
  <c r="AG19" i="11" s="1"/>
  <c r="AG21" i="11" s="1"/>
  <c r="Y16" i="11"/>
  <c r="Y19" i="11" s="1"/>
  <c r="Y21" i="11" s="1"/>
  <c r="BC16" i="11"/>
  <c r="BC19" i="11" s="1"/>
  <c r="BC21" i="11" s="1"/>
  <c r="N14" i="11"/>
  <c r="AK14" i="11"/>
  <c r="AM14" i="11"/>
  <c r="AJ14" i="11"/>
  <c r="P14" i="11"/>
  <c r="BF14" i="11"/>
  <c r="BH14" i="11"/>
  <c r="L14" i="11"/>
  <c r="U14" i="11"/>
  <c r="S14" i="11"/>
  <c r="BM14" i="11"/>
  <c r="BK14" i="11"/>
  <c r="AI14" i="11"/>
  <c r="T14" i="11"/>
  <c r="V14" i="11"/>
  <c r="BL14" i="11"/>
  <c r="BJ14" i="11"/>
  <c r="AN14" i="11"/>
  <c r="Q14" i="11"/>
  <c r="O14" i="11"/>
  <c r="BE14" i="11"/>
  <c r="AL14" i="11"/>
  <c r="AR14" i="11"/>
  <c r="AQ14" i="11"/>
  <c r="M14" i="11"/>
  <c r="R14" i="11"/>
  <c r="BD14" i="11"/>
  <c r="BI14" i="11"/>
  <c r="BN14" i="11"/>
  <c r="AH14" i="11"/>
  <c r="AO14" i="11"/>
  <c r="AP14" i="11"/>
  <c r="AE14" i="11"/>
  <c r="AA14" i="11"/>
  <c r="W14" i="11"/>
  <c r="AD14" i="11"/>
  <c r="Z14" i="11"/>
  <c r="AG14" i="11"/>
  <c r="AC14" i="11"/>
  <c r="Y14" i="11"/>
  <c r="AF14" i="11"/>
  <c r="AB14" i="11"/>
  <c r="X14" i="11"/>
  <c r="BC14" i="11"/>
  <c r="AY14" i="11"/>
  <c r="AU14" i="11"/>
  <c r="BB14" i="11"/>
  <c r="AX14" i="11"/>
  <c r="AT14" i="11"/>
  <c r="BA14" i="11"/>
  <c r="AW14" i="11"/>
  <c r="AS14" i="11"/>
  <c r="AZ14" i="11"/>
  <c r="AV14" i="11"/>
  <c r="AS25" i="11" l="1"/>
  <c r="AS31" i="11" s="1"/>
  <c r="AA25" i="11"/>
  <c r="AA31" i="11" s="1"/>
  <c r="AF25" i="11"/>
  <c r="AF31" i="11" s="1"/>
  <c r="BN25" i="11"/>
  <c r="BN31" i="11" s="1"/>
  <c r="BD25" i="11"/>
  <c r="BD31" i="11" s="1"/>
  <c r="M25" i="11"/>
  <c r="M31" i="11" s="1"/>
  <c r="P25" i="11"/>
  <c r="P31" i="11" s="1"/>
  <c r="AV25" i="11"/>
  <c r="AV31" i="11" s="1"/>
  <c r="AB25" i="11"/>
  <c r="AB31" i="11" s="1"/>
  <c r="AT25" i="11"/>
  <c r="AT31" i="11" s="1"/>
  <c r="AO25" i="11"/>
  <c r="AO31" i="11" s="1"/>
  <c r="R25" i="11"/>
  <c r="R31" i="11" s="1"/>
  <c r="AJ25" i="11"/>
  <c r="AJ31" i="11" s="1"/>
  <c r="T25" i="11"/>
  <c r="T31" i="11" s="1"/>
  <c r="Y25" i="11"/>
  <c r="Y31" i="11" s="1"/>
  <c r="Z25" i="11"/>
  <c r="Z31" i="11" s="1"/>
  <c r="AW25" i="11"/>
  <c r="AW31" i="11" s="1"/>
  <c r="AC25" i="11"/>
  <c r="AC31" i="11" s="1"/>
  <c r="AU25" i="11"/>
  <c r="AU31" i="11" s="1"/>
  <c r="AD25" i="11"/>
  <c r="AD31" i="11" s="1"/>
  <c r="S25" i="11"/>
  <c r="S31" i="11" s="1"/>
  <c r="AN25" i="11"/>
  <c r="AN31" i="11" s="1"/>
  <c r="AR25" i="11"/>
  <c r="AR31" i="11" s="1"/>
  <c r="AM25" i="11"/>
  <c r="AM31" i="11" s="1"/>
  <c r="AH25" i="11"/>
  <c r="AH31" i="11" s="1"/>
  <c r="U25" i="11"/>
  <c r="U31" i="11" s="1"/>
  <c r="AI25" i="11"/>
  <c r="AI31" i="11" s="1"/>
  <c r="BJ25" i="11"/>
  <c r="BJ31" i="11" s="1"/>
  <c r="X25" i="11"/>
  <c r="X31" i="11" s="1"/>
  <c r="W25" i="11"/>
  <c r="W31" i="11" s="1"/>
  <c r="AP25" i="11"/>
  <c r="AP31" i="11" s="1"/>
  <c r="L25" i="11"/>
  <c r="L31" i="11" s="1"/>
  <c r="BL25" i="11"/>
  <c r="BL31" i="11" s="1"/>
  <c r="BK25" i="11"/>
  <c r="BK31" i="11" s="1"/>
  <c r="BC25" i="11"/>
  <c r="BC31" i="11" s="1"/>
  <c r="BB25" i="11"/>
  <c r="BB31" i="11" s="1"/>
  <c r="BA25" i="11"/>
  <c r="BA31" i="11" s="1"/>
  <c r="AQ25" i="11"/>
  <c r="AQ31" i="11" s="1"/>
  <c r="AL25" i="11"/>
  <c r="AL31" i="11" s="1"/>
  <c r="BF25" i="11"/>
  <c r="BF31" i="11" s="1"/>
  <c r="AG25" i="11"/>
  <c r="AG31" i="11" s="1"/>
  <c r="AZ25" i="11"/>
  <c r="AZ31" i="11" s="1"/>
  <c r="AY25" i="11"/>
  <c r="AY31" i="11" s="1"/>
  <c r="AE25" i="11"/>
  <c r="AE31" i="11" s="1"/>
  <c r="AX25" i="11"/>
  <c r="AX31" i="11" s="1"/>
  <c r="O25" i="11"/>
  <c r="O31" i="11" s="1"/>
  <c r="AK25" i="11"/>
  <c r="AK31" i="11" s="1"/>
  <c r="BE25" i="11"/>
  <c r="BE31" i="11" s="1"/>
  <c r="V25" i="11"/>
  <c r="V31" i="11" s="1"/>
  <c r="N25" i="11"/>
  <c r="N31" i="11" s="1"/>
  <c r="BI25" i="11"/>
  <c r="BI31" i="11" s="1"/>
  <c r="BG25" i="11"/>
  <c r="BG31" i="11" s="1"/>
  <c r="Q25" i="11"/>
  <c r="Q31" i="11" s="1"/>
  <c r="BM25" i="11"/>
  <c r="BM31" i="11" s="1"/>
  <c r="F28" i="11"/>
  <c r="BH25" i="11"/>
  <c r="BH31" i="11" s="1"/>
  <c r="F25" i="11"/>
  <c r="F31" i="11" s="1"/>
  <c r="O64" i="11"/>
  <c r="O75" i="11" s="1"/>
  <c r="I64" i="11"/>
  <c r="I75" i="11" s="1"/>
  <c r="J64" i="11"/>
  <c r="J75" i="11" s="1"/>
  <c r="K64" i="11"/>
  <c r="K75" i="11" s="1"/>
  <c r="R64" i="11"/>
  <c r="R75" i="11" s="1"/>
  <c r="L64" i="11"/>
  <c r="L75" i="11" s="1"/>
  <c r="M64" i="11"/>
  <c r="M75" i="11" s="1"/>
  <c r="P64" i="11"/>
  <c r="P75" i="11" s="1"/>
  <c r="N64" i="11"/>
  <c r="N75" i="11" s="1"/>
  <c r="Q64" i="11"/>
  <c r="Q75" i="11" s="1"/>
  <c r="D15" i="2"/>
  <c r="D14" i="2"/>
  <c r="E41" i="11" l="1"/>
  <c r="D41" i="11" s="1"/>
  <c r="E40" i="11"/>
  <c r="D40" i="11" s="1"/>
  <c r="BN41" i="11" l="1"/>
  <c r="BJ41" i="11"/>
  <c r="BF41" i="11"/>
  <c r="BB41" i="11"/>
  <c r="AX41" i="11"/>
  <c r="AT41" i="11"/>
  <c r="AP41" i="11"/>
  <c r="AL41" i="11"/>
  <c r="AH41" i="11"/>
  <c r="AD41" i="11"/>
  <c r="Z41" i="11"/>
  <c r="V41" i="11"/>
  <c r="R41" i="11"/>
  <c r="N41" i="11"/>
  <c r="BI41" i="11"/>
  <c r="BD41" i="11"/>
  <c r="AY41" i="11"/>
  <c r="AS41" i="11"/>
  <c r="AN41" i="11"/>
  <c r="AI41" i="11"/>
  <c r="AC41" i="11"/>
  <c r="X41" i="11"/>
  <c r="S41" i="11"/>
  <c r="M41" i="11"/>
  <c r="BK41" i="11"/>
  <c r="BC41" i="11"/>
  <c r="AV41" i="11"/>
  <c r="AO41" i="11"/>
  <c r="AG41" i="11"/>
  <c r="AA41" i="11"/>
  <c r="T41" i="11"/>
  <c r="L41" i="11"/>
  <c r="BH41" i="11"/>
  <c r="BA41" i="11"/>
  <c r="AU41" i="11"/>
  <c r="AM41" i="11"/>
  <c r="AF41" i="11"/>
  <c r="Y41" i="11"/>
  <c r="Q41" i="11"/>
  <c r="BM41" i="11"/>
  <c r="BG41" i="11"/>
  <c r="AR41" i="11"/>
  <c r="AE41" i="11"/>
  <c r="P41" i="11"/>
  <c r="BE41" i="11"/>
  <c r="AQ41" i="11"/>
  <c r="AB41" i="11"/>
  <c r="O41" i="11"/>
  <c r="AZ41" i="11"/>
  <c r="AK41" i="11"/>
  <c r="W41" i="11"/>
  <c r="BL41" i="11"/>
  <c r="AW41" i="11"/>
  <c r="AJ41" i="11"/>
  <c r="U41" i="11"/>
  <c r="BM40" i="11"/>
  <c r="BI40" i="11"/>
  <c r="BE40" i="11"/>
  <c r="BA40" i="11"/>
  <c r="AW40" i="11"/>
  <c r="AS40" i="11"/>
  <c r="AO40" i="11"/>
  <c r="AK40" i="11"/>
  <c r="AG40" i="11"/>
  <c r="AC40" i="11"/>
  <c r="Y40" i="11"/>
  <c r="U40" i="11"/>
  <c r="Q40" i="11"/>
  <c r="M40" i="11"/>
  <c r="BK40" i="11"/>
  <c r="BF40" i="11"/>
  <c r="AZ40" i="11"/>
  <c r="AU40" i="11"/>
  <c r="AP40" i="11"/>
  <c r="AJ40" i="11"/>
  <c r="AE40" i="11"/>
  <c r="Z40" i="11"/>
  <c r="T40" i="11"/>
  <c r="O40" i="11"/>
  <c r="BH40" i="11"/>
  <c r="BB40" i="11"/>
  <c r="AT40" i="11"/>
  <c r="AM40" i="11"/>
  <c r="AF40" i="11"/>
  <c r="X40" i="11"/>
  <c r="R40" i="11"/>
  <c r="BN40" i="11"/>
  <c r="BG40" i="11"/>
  <c r="AY40" i="11"/>
  <c r="AR40" i="11"/>
  <c r="AL40" i="11"/>
  <c r="AD40" i="11"/>
  <c r="W40" i="11"/>
  <c r="P40" i="11"/>
  <c r="BD40" i="11"/>
  <c r="AQ40" i="11"/>
  <c r="AB40" i="11"/>
  <c r="N40" i="11"/>
  <c r="BC40" i="11"/>
  <c r="AN40" i="11"/>
  <c r="AA40" i="11"/>
  <c r="L40" i="11"/>
  <c r="BL40" i="11"/>
  <c r="AX40" i="11"/>
  <c r="AI40" i="11"/>
  <c r="V40" i="11"/>
  <c r="BJ40" i="11"/>
  <c r="AV40" i="11"/>
  <c r="AH40" i="11"/>
  <c r="S40" i="11"/>
  <c r="F33" i="11"/>
  <c r="AZ39" i="11"/>
  <c r="AZ26" i="11" s="1"/>
  <c r="AV39" i="11"/>
  <c r="AV26" i="11" s="1"/>
  <c r="T39" i="11"/>
  <c r="T26" i="11" s="1"/>
  <c r="BG39" i="11"/>
  <c r="BG26" i="11" s="1"/>
  <c r="AQ39" i="11"/>
  <c r="AQ26" i="11" s="1"/>
  <c r="AA39" i="11"/>
  <c r="AA26" i="11" s="1"/>
  <c r="BN39" i="11"/>
  <c r="BN26" i="11" s="1"/>
  <c r="AX39" i="11"/>
  <c r="AX26" i="11" s="1"/>
  <c r="AH39" i="11"/>
  <c r="AH26" i="11" s="1"/>
  <c r="R39" i="11"/>
  <c r="R26" i="11" s="1"/>
  <c r="BE39" i="11"/>
  <c r="BE26" i="11" s="1"/>
  <c r="AO39" i="11"/>
  <c r="AO26" i="11" s="1"/>
  <c r="Y39" i="11"/>
  <c r="Y26" i="11" s="1"/>
  <c r="BD39" i="11"/>
  <c r="BD26" i="11" s="1"/>
  <c r="AF39" i="11"/>
  <c r="AF26" i="11" s="1"/>
  <c r="AB39" i="11"/>
  <c r="AB26" i="11" s="1"/>
  <c r="AJ39" i="11"/>
  <c r="AJ26" i="11" s="1"/>
  <c r="BC39" i="11"/>
  <c r="BC26" i="11" s="1"/>
  <c r="AM39" i="11"/>
  <c r="AM26" i="11" s="1"/>
  <c r="W39" i="11"/>
  <c r="W26" i="11" s="1"/>
  <c r="BJ39" i="11"/>
  <c r="BJ26" i="11" s="1"/>
  <c r="AT39" i="11"/>
  <c r="AT26" i="11" s="1"/>
  <c r="BH39" i="11"/>
  <c r="BH26" i="11" s="1"/>
  <c r="AY39" i="11"/>
  <c r="AY26" i="11" s="1"/>
  <c r="S39" i="11"/>
  <c r="S26" i="11" s="1"/>
  <c r="AP39" i="11"/>
  <c r="AP26" i="11" s="1"/>
  <c r="V39" i="11"/>
  <c r="V26" i="11" s="1"/>
  <c r="BA39" i="11"/>
  <c r="BA26" i="11" s="1"/>
  <c r="AG39" i="11"/>
  <c r="AG26" i="11" s="1"/>
  <c r="M39" i="11"/>
  <c r="M26" i="11" s="1"/>
  <c r="AN39" i="11"/>
  <c r="AN26" i="11" s="1"/>
  <c r="BL39" i="11"/>
  <c r="BL26" i="11" s="1"/>
  <c r="AU39" i="11"/>
  <c r="AU26" i="11" s="1"/>
  <c r="O39" i="11"/>
  <c r="O26" i="11" s="1"/>
  <c r="AL39" i="11"/>
  <c r="AL26" i="11" s="1"/>
  <c r="N39" i="11"/>
  <c r="N26" i="11" s="1"/>
  <c r="AW39" i="11"/>
  <c r="AW26" i="11" s="1"/>
  <c r="AC39" i="11"/>
  <c r="AC26" i="11" s="1"/>
  <c r="AR39" i="11"/>
  <c r="AR26" i="11" s="1"/>
  <c r="AI39" i="11"/>
  <c r="AI26" i="11" s="1"/>
  <c r="BF39" i="11"/>
  <c r="BF26" i="11" s="1"/>
  <c r="AD39" i="11"/>
  <c r="AD26" i="11" s="1"/>
  <c r="BM39" i="11"/>
  <c r="BM26" i="11" s="1"/>
  <c r="AS39" i="11"/>
  <c r="AS26" i="11" s="1"/>
  <c r="U39" i="11"/>
  <c r="U26" i="11" s="1"/>
  <c r="L39" i="11"/>
  <c r="L26" i="11" s="1"/>
  <c r="P39" i="11"/>
  <c r="P26" i="11" s="1"/>
  <c r="BK39" i="11"/>
  <c r="BK26" i="11" s="1"/>
  <c r="AE39" i="11"/>
  <c r="AE26" i="11" s="1"/>
  <c r="BB39" i="11"/>
  <c r="BB26" i="11" s="1"/>
  <c r="Z39" i="11"/>
  <c r="Z26" i="11" s="1"/>
  <c r="BI39" i="11"/>
  <c r="BI26" i="11" s="1"/>
  <c r="AK39" i="11"/>
  <c r="AK26" i="11" s="1"/>
  <c r="Q39" i="11"/>
  <c r="Q26" i="11" s="1"/>
  <c r="X39" i="11"/>
  <c r="X26" i="11" s="1"/>
  <c r="BI27" i="11" l="1"/>
  <c r="BI28" i="11" s="1"/>
  <c r="AS27" i="11"/>
  <c r="AS28" i="11" s="1"/>
  <c r="AI27" i="11"/>
  <c r="AI28" i="11" s="1"/>
  <c r="BL27" i="11"/>
  <c r="BL28" i="11" s="1"/>
  <c r="AY27" i="11"/>
  <c r="AY28" i="11" s="1"/>
  <c r="W27" i="11"/>
  <c r="W28" i="11" s="1"/>
  <c r="AO27" i="11"/>
  <c r="AO28" i="11" s="1"/>
  <c r="AX27" i="11"/>
  <c r="AX28" i="11" s="1"/>
  <c r="Z27" i="11"/>
  <c r="Z28" i="11" s="1"/>
  <c r="BM27" i="11"/>
  <c r="BM28" i="11" s="1"/>
  <c r="AR27" i="11"/>
  <c r="AR28" i="11" s="1"/>
  <c r="AN27" i="11"/>
  <c r="AN28" i="11" s="1"/>
  <c r="BH27" i="11"/>
  <c r="BH28" i="11" s="1"/>
  <c r="AM27" i="11"/>
  <c r="AM28" i="11" s="1"/>
  <c r="AF27" i="11"/>
  <c r="AF28" i="11" s="1"/>
  <c r="BN27" i="11"/>
  <c r="BN28" i="11" s="1"/>
  <c r="T27" i="11"/>
  <c r="T28" i="11" s="1"/>
  <c r="Q27" i="11"/>
  <c r="Q28" i="11" s="1"/>
  <c r="BB27" i="11"/>
  <c r="BB28" i="11" s="1"/>
  <c r="L27" i="11"/>
  <c r="L28" i="11" s="1"/>
  <c r="AD27" i="11"/>
  <c r="AD28" i="11" s="1"/>
  <c r="AC27" i="11"/>
  <c r="AC28" i="11" s="1"/>
  <c r="O27" i="11"/>
  <c r="O28" i="11" s="1"/>
  <c r="M27" i="11"/>
  <c r="M28" i="11" s="1"/>
  <c r="AP27" i="11"/>
  <c r="AP28" i="11" s="1"/>
  <c r="AT27" i="11"/>
  <c r="AT28" i="11" s="1"/>
  <c r="BC27" i="11"/>
  <c r="BC28" i="11" s="1"/>
  <c r="BD27" i="11"/>
  <c r="BD28" i="11" s="1"/>
  <c r="R27" i="11"/>
  <c r="R28" i="11" s="1"/>
  <c r="AA27" i="11"/>
  <c r="AA28" i="11" s="1"/>
  <c r="AV27" i="11"/>
  <c r="AV28" i="11" s="1"/>
  <c r="BK27" i="11"/>
  <c r="BK28" i="11" s="1"/>
  <c r="N27" i="11"/>
  <c r="N28" i="11" s="1"/>
  <c r="BA27" i="11"/>
  <c r="BA28" i="11" s="1"/>
  <c r="AB27" i="11"/>
  <c r="AB28" i="11" s="1"/>
  <c r="BG27" i="11"/>
  <c r="BG28" i="11" s="1"/>
  <c r="X27" i="11"/>
  <c r="X28" i="11" s="1"/>
  <c r="P27" i="11"/>
  <c r="P28" i="11" s="1"/>
  <c r="AL27" i="11"/>
  <c r="AL28" i="11" s="1"/>
  <c r="V27" i="11"/>
  <c r="V28" i="11" s="1"/>
  <c r="BE27" i="11"/>
  <c r="BE28" i="11" s="1"/>
  <c r="AK27" i="11"/>
  <c r="AK28" i="11" s="1"/>
  <c r="AE27" i="11"/>
  <c r="AE28" i="11" s="1"/>
  <c r="U27" i="11"/>
  <c r="U28" i="11" s="1"/>
  <c r="BF27" i="11"/>
  <c r="BF28" i="11" s="1"/>
  <c r="AW27" i="11"/>
  <c r="AW28" i="11" s="1"/>
  <c r="AU27" i="11"/>
  <c r="AU28" i="11" s="1"/>
  <c r="AG27" i="11"/>
  <c r="AG28" i="11" s="1"/>
  <c r="S27" i="11"/>
  <c r="S28" i="11" s="1"/>
  <c r="BJ27" i="11"/>
  <c r="BJ28" i="11" s="1"/>
  <c r="AJ27" i="11"/>
  <c r="AJ28" i="11" s="1"/>
  <c r="Y27" i="11"/>
  <c r="Y28" i="11" s="1"/>
  <c r="AH27" i="11"/>
  <c r="AH28" i="11" s="1"/>
  <c r="AQ27" i="11"/>
  <c r="AQ28" i="11" s="1"/>
  <c r="AZ27" i="11"/>
  <c r="AZ28" i="11" s="1"/>
  <c r="BK47" i="11"/>
  <c r="BK48" i="11"/>
  <c r="BK49" i="11" s="1"/>
  <c r="AI48" i="11"/>
  <c r="AI49" i="11" s="1"/>
  <c r="AI47" i="11"/>
  <c r="BL47" i="11"/>
  <c r="BL48" i="11"/>
  <c r="BL49" i="11" s="1"/>
  <c r="BA48" i="11"/>
  <c r="BA49" i="11" s="1"/>
  <c r="BA47" i="11"/>
  <c r="W48" i="11"/>
  <c r="W49" i="11" s="1"/>
  <c r="W47" i="11"/>
  <c r="AO48" i="11"/>
  <c r="AO49" i="11" s="1"/>
  <c r="AO47" i="11"/>
  <c r="BG48" i="11"/>
  <c r="BG49" i="11" s="1"/>
  <c r="BG47" i="11"/>
  <c r="X47" i="11"/>
  <c r="X48" i="11"/>
  <c r="X49" i="11" s="1"/>
  <c r="P47" i="11"/>
  <c r="P48" i="11"/>
  <c r="P49" i="11" s="1"/>
  <c r="AR47" i="11"/>
  <c r="AR48" i="11"/>
  <c r="AR49" i="11" s="1"/>
  <c r="AN47" i="11"/>
  <c r="AN48" i="11"/>
  <c r="AN49" i="11" s="1"/>
  <c r="BH47" i="11"/>
  <c r="BH48" i="11"/>
  <c r="BH49" i="11" s="1"/>
  <c r="AF47" i="11"/>
  <c r="AF48" i="11"/>
  <c r="AF49" i="11" s="1"/>
  <c r="BN48" i="11"/>
  <c r="BN49" i="11" s="1"/>
  <c r="BN47" i="11"/>
  <c r="Q48" i="11"/>
  <c r="Q49" i="11" s="1"/>
  <c r="Q47" i="11"/>
  <c r="BB48" i="11"/>
  <c r="BB49" i="11" s="1"/>
  <c r="BB47" i="11"/>
  <c r="L47" i="11"/>
  <c r="L48" i="11"/>
  <c r="L49" i="11" s="1"/>
  <c r="AD48" i="11"/>
  <c r="AD49" i="11" s="1"/>
  <c r="AD47" i="11"/>
  <c r="AC48" i="11"/>
  <c r="AC49" i="11" s="1"/>
  <c r="AC47" i="11"/>
  <c r="O47" i="11"/>
  <c r="O48" i="11"/>
  <c r="O49" i="11" s="1"/>
  <c r="M48" i="11"/>
  <c r="M49" i="11" s="1"/>
  <c r="M47" i="11"/>
  <c r="AP47" i="11"/>
  <c r="AP48" i="11"/>
  <c r="AP49" i="11" s="1"/>
  <c r="AT48" i="11"/>
  <c r="AT49" i="11" s="1"/>
  <c r="AT47" i="11"/>
  <c r="BC48" i="11"/>
  <c r="BC49" i="11" s="1"/>
  <c r="BC47" i="11"/>
  <c r="BD47" i="11"/>
  <c r="BD48" i="11"/>
  <c r="BD49" i="11" s="1"/>
  <c r="R48" i="11"/>
  <c r="R49" i="11" s="1"/>
  <c r="R47" i="11"/>
  <c r="AA48" i="11"/>
  <c r="AA49" i="11" s="1"/>
  <c r="AA47" i="11"/>
  <c r="AV47" i="11"/>
  <c r="AV48" i="11"/>
  <c r="AV49" i="11" s="1"/>
  <c r="BI48" i="11"/>
  <c r="BI49" i="11" s="1"/>
  <c r="BI47" i="11"/>
  <c r="AS48" i="11"/>
  <c r="AS49" i="11" s="1"/>
  <c r="AS47" i="11"/>
  <c r="N48" i="11"/>
  <c r="N49" i="11" s="1"/>
  <c r="N47" i="11"/>
  <c r="AY48" i="11"/>
  <c r="AY49" i="11" s="1"/>
  <c r="AY47" i="11"/>
  <c r="AB47" i="11"/>
  <c r="AB48" i="11"/>
  <c r="AB49" i="11" s="1"/>
  <c r="AX48" i="11"/>
  <c r="AX49" i="11" s="1"/>
  <c r="AX47" i="11"/>
  <c r="Z47" i="11"/>
  <c r="Z48" i="11"/>
  <c r="Z49" i="11" s="1"/>
  <c r="BM48" i="11"/>
  <c r="BM49" i="11" s="1"/>
  <c r="BM47" i="11"/>
  <c r="AL48" i="11"/>
  <c r="AL49" i="11" s="1"/>
  <c r="AL47" i="11"/>
  <c r="V48" i="11"/>
  <c r="V49" i="11" s="1"/>
  <c r="V47" i="11"/>
  <c r="AM48" i="11"/>
  <c r="AM49" i="11" s="1"/>
  <c r="AM47" i="11"/>
  <c r="BE48" i="11"/>
  <c r="BE49" i="11" s="1"/>
  <c r="BE47" i="11"/>
  <c r="T47" i="11"/>
  <c r="T48" i="11"/>
  <c r="T49" i="11" s="1"/>
  <c r="AK48" i="11"/>
  <c r="AK49" i="11" s="1"/>
  <c r="AK47" i="11"/>
  <c r="AE47" i="11"/>
  <c r="AE48" i="11"/>
  <c r="AE49" i="11" s="1"/>
  <c r="U48" i="11"/>
  <c r="U49" i="11" s="1"/>
  <c r="U47" i="11"/>
  <c r="BF47" i="11"/>
  <c r="BF48" i="11"/>
  <c r="BF49" i="11" s="1"/>
  <c r="AW48" i="11"/>
  <c r="AW49" i="11" s="1"/>
  <c r="AW47" i="11"/>
  <c r="AU47" i="11"/>
  <c r="AU48" i="11"/>
  <c r="AU49" i="11" s="1"/>
  <c r="AG48" i="11"/>
  <c r="AG49" i="11" s="1"/>
  <c r="AG47" i="11"/>
  <c r="S48" i="11"/>
  <c r="S49" i="11" s="1"/>
  <c r="S47" i="11"/>
  <c r="BJ48" i="11"/>
  <c r="BJ49" i="11" s="1"/>
  <c r="BJ47" i="11"/>
  <c r="AJ47" i="11"/>
  <c r="AJ48" i="11"/>
  <c r="AJ49" i="11" s="1"/>
  <c r="Y48" i="11"/>
  <c r="Y49" i="11" s="1"/>
  <c r="Y47" i="11"/>
  <c r="AH48" i="11"/>
  <c r="AH49" i="11" s="1"/>
  <c r="AH47" i="11"/>
  <c r="AQ48" i="11"/>
  <c r="AQ49" i="11" s="1"/>
  <c r="AQ47" i="11"/>
  <c r="AZ47" i="11"/>
  <c r="AZ48" i="11"/>
  <c r="AZ49" i="11" s="1"/>
  <c r="AA55" i="11" l="1"/>
  <c r="AP55" i="11"/>
  <c r="AR55" i="11"/>
  <c r="BB55" i="11"/>
  <c r="BM55" i="11"/>
  <c r="L55" i="11"/>
  <c r="X55" i="11"/>
  <c r="BA55" i="11"/>
  <c r="BH55" i="11"/>
  <c r="T55" i="11"/>
  <c r="O55" i="11"/>
  <c r="AY55" i="11"/>
  <c r="U55" i="11"/>
  <c r="BE55" i="11"/>
  <c r="BC55" i="11"/>
  <c r="M55" i="11"/>
  <c r="AB55" i="11"/>
  <c r="BD55" i="11"/>
  <c r="BK55" i="11"/>
  <c r="P55" i="11"/>
  <c r="AF55" i="11"/>
  <c r="V55" i="11"/>
  <c r="BJ55" i="11"/>
  <c r="BI55" i="11"/>
  <c r="AU55" i="11"/>
  <c r="AI55" i="11"/>
  <c r="AJ55" i="11"/>
  <c r="BG55" i="11"/>
  <c r="AO55" i="11"/>
  <c r="S55" i="11"/>
  <c r="AM55" i="11"/>
  <c r="AW55" i="11"/>
  <c r="AD55" i="11"/>
  <c r="AS55" i="11"/>
  <c r="Z55" i="11"/>
  <c r="W55" i="11"/>
  <c r="AH55" i="11"/>
  <c r="BN55" i="11"/>
  <c r="AG55" i="11"/>
  <c r="AQ55" i="11"/>
  <c r="Y55" i="11"/>
  <c r="AT55" i="11"/>
  <c r="N55" i="11"/>
  <c r="AK55" i="11"/>
  <c r="AL55" i="11"/>
  <c r="Q55" i="11"/>
  <c r="AN55" i="11"/>
  <c r="BL55" i="11"/>
  <c r="AC55" i="11"/>
  <c r="AZ55" i="11"/>
  <c r="AX55" i="11"/>
  <c r="R55" i="11"/>
  <c r="BF55" i="11"/>
  <c r="AE55" i="11"/>
  <c r="AV55" i="11"/>
  <c r="P33" i="11"/>
  <c r="AZ33" i="11"/>
  <c r="AU33" i="11"/>
  <c r="N33" i="11"/>
  <c r="BG33" i="11"/>
  <c r="AN33" i="11"/>
  <c r="AA33" i="11"/>
  <c r="AC33" i="11"/>
  <c r="Q33" i="11"/>
  <c r="AE33" i="11"/>
  <c r="AT33" i="11"/>
  <c r="AR33" i="11"/>
  <c r="AM33" i="11"/>
  <c r="AO33" i="11"/>
  <c r="BM33" i="11"/>
  <c r="BA33" i="11"/>
  <c r="BK33" i="11"/>
  <c r="R33" i="11"/>
  <c r="X33" i="11"/>
  <c r="Y33" i="11"/>
  <c r="BH33" i="11"/>
  <c r="AQ33" i="11"/>
  <c r="AV33" i="11"/>
  <c r="AG33" i="11"/>
  <c r="BC33" i="11"/>
  <c r="U33" i="11"/>
  <c r="V33" i="11"/>
  <c r="BE33" i="11"/>
  <c r="O33" i="11"/>
  <c r="AY33" i="11"/>
  <c r="BB33" i="11"/>
  <c r="AL33" i="11"/>
  <c r="S33" i="11"/>
  <c r="M33" i="11"/>
  <c r="BF33" i="11"/>
  <c r="L33" i="11"/>
  <c r="AB33" i="11"/>
  <c r="AD33" i="11"/>
  <c r="BJ33" i="11"/>
  <c r="T33" i="11"/>
  <c r="AK33" i="11"/>
  <c r="AF33" i="11"/>
  <c r="AH33" i="11"/>
  <c r="W33" i="11"/>
  <c r="AS33" i="11"/>
  <c r="AP33" i="11"/>
  <c r="BD33" i="11"/>
  <c r="AI33" i="11"/>
  <c r="BI33" i="11"/>
  <c r="BL33" i="11"/>
  <c r="Z33" i="11"/>
  <c r="AX33" i="11"/>
  <c r="AJ33" i="11"/>
  <c r="BN33" i="11"/>
  <c r="AW33" i="11"/>
  <c r="N14" i="3" l="1"/>
  <c r="H36" i="11" l="1"/>
  <c r="J36" i="11" l="1"/>
  <c r="G36" i="11" l="1"/>
  <c r="I36" i="11" l="1"/>
  <c r="H64" i="11" l="1"/>
  <c r="H75" i="11" s="1"/>
  <c r="V10" i="2"/>
  <c r="H17" i="11" s="1"/>
  <c r="U10" i="2"/>
  <c r="G17" i="11" s="1"/>
  <c r="G42" i="11" s="1"/>
  <c r="T10" i="2"/>
  <c r="F17" i="11" s="1"/>
  <c r="AF17" i="11" l="1"/>
  <c r="AF34" i="11" s="1"/>
  <c r="AJ17" i="11"/>
  <c r="AJ34" i="11" s="1"/>
  <c r="AW17" i="11"/>
  <c r="AW32" i="11" s="1"/>
  <c r="BN17" i="11"/>
  <c r="BN34" i="11" s="1"/>
  <c r="AR17" i="11"/>
  <c r="AR34" i="11" s="1"/>
  <c r="K17" i="11"/>
  <c r="H42" i="11"/>
  <c r="G56" i="11"/>
  <c r="G54" i="11"/>
  <c r="BG17" i="11"/>
  <c r="BC17" i="11"/>
  <c r="O17" i="11"/>
  <c r="J17" i="11"/>
  <c r="AZ17" i="11"/>
  <c r="AE17" i="11"/>
  <c r="AC17" i="11"/>
  <c r="BL17" i="11"/>
  <c r="BJ17" i="11"/>
  <c r="BE17" i="11"/>
  <c r="N17" i="11"/>
  <c r="AX17" i="11"/>
  <c r="F32" i="11"/>
  <c r="AI17" i="11"/>
  <c r="AS17" i="11"/>
  <c r="Y17" i="11"/>
  <c r="AY17" i="11"/>
  <c r="BH17" i="11"/>
  <c r="F34" i="11"/>
  <c r="AG17" i="11"/>
  <c r="F42" i="11"/>
  <c r="AM17" i="11"/>
  <c r="AQ17" i="11"/>
  <c r="BB17" i="11"/>
  <c r="AK17" i="11"/>
  <c r="BI17" i="11"/>
  <c r="AB17" i="11"/>
  <c r="AA17" i="11"/>
  <c r="BM17" i="11"/>
  <c r="S17" i="11"/>
  <c r="X17" i="11"/>
  <c r="I17" i="11"/>
  <c r="AT17" i="11"/>
  <c r="AD17" i="11"/>
  <c r="W17" i="11"/>
  <c r="V17" i="11"/>
  <c r="M17" i="11"/>
  <c r="T17" i="11"/>
  <c r="AU17" i="11"/>
  <c r="P17" i="11"/>
  <c r="AH17" i="11"/>
  <c r="AV17" i="11"/>
  <c r="Q17" i="11"/>
  <c r="AN17" i="11"/>
  <c r="U17" i="11"/>
  <c r="R17" i="11"/>
  <c r="L17" i="11"/>
  <c r="BK17" i="11"/>
  <c r="AP17" i="11"/>
  <c r="BA17" i="11"/>
  <c r="Z17" i="11"/>
  <c r="BD17" i="11"/>
  <c r="AO17" i="11"/>
  <c r="AL17" i="11"/>
  <c r="BF17" i="11"/>
  <c r="AR32" i="11" l="1"/>
  <c r="AR36" i="11" s="1"/>
  <c r="AF32" i="11"/>
  <c r="AF36" i="11" s="1"/>
  <c r="BN32" i="11"/>
  <c r="BN36" i="11" s="1"/>
  <c r="AJ32" i="11"/>
  <c r="AJ36" i="11" s="1"/>
  <c r="G58" i="11"/>
  <c r="G60" i="11" s="1"/>
  <c r="AW34" i="11"/>
  <c r="AW36" i="11" s="1"/>
  <c r="AO34" i="11"/>
  <c r="AO32" i="11"/>
  <c r="AP32" i="11"/>
  <c r="AP34" i="11"/>
  <c r="R34" i="11"/>
  <c r="R32" i="11"/>
  <c r="AV34" i="11"/>
  <c r="AV32" i="11"/>
  <c r="AU32" i="11"/>
  <c r="AU34" i="11"/>
  <c r="W34" i="11"/>
  <c r="W32" i="11"/>
  <c r="AA34" i="11"/>
  <c r="AA32" i="11"/>
  <c r="BB34" i="11"/>
  <c r="BB32" i="11"/>
  <c r="AG34" i="11"/>
  <c r="AG32" i="11"/>
  <c r="Y34" i="11"/>
  <c r="Y32" i="11"/>
  <c r="AX34" i="11"/>
  <c r="AX32" i="11"/>
  <c r="BL34" i="11"/>
  <c r="BL32" i="11"/>
  <c r="BD34" i="11"/>
  <c r="BD32" i="11"/>
  <c r="U34" i="11"/>
  <c r="U32" i="11"/>
  <c r="AH32" i="11"/>
  <c r="AH34" i="11"/>
  <c r="T32" i="11"/>
  <c r="T34" i="11"/>
  <c r="AD34" i="11"/>
  <c r="AD32" i="11"/>
  <c r="X32" i="11"/>
  <c r="X34" i="11"/>
  <c r="AB34" i="11"/>
  <c r="AB32" i="11"/>
  <c r="AQ34" i="11"/>
  <c r="AQ32" i="11"/>
  <c r="AS32" i="11"/>
  <c r="AS34" i="11"/>
  <c r="N34" i="11"/>
  <c r="N32" i="11"/>
  <c r="AC34" i="11"/>
  <c r="AC32" i="11"/>
  <c r="O34" i="11"/>
  <c r="O32" i="11"/>
  <c r="BF34" i="11"/>
  <c r="BF32" i="11"/>
  <c r="Z32" i="11"/>
  <c r="Z34" i="11"/>
  <c r="BK34" i="11"/>
  <c r="BK32" i="11"/>
  <c r="AN34" i="11"/>
  <c r="AN32" i="11"/>
  <c r="M34" i="11"/>
  <c r="M32" i="11"/>
  <c r="AT34" i="11"/>
  <c r="AT32" i="11"/>
  <c r="S34" i="11"/>
  <c r="S32" i="11"/>
  <c r="BI34" i="11"/>
  <c r="BI32" i="11"/>
  <c r="AM34" i="11"/>
  <c r="AM32" i="11"/>
  <c r="BH34" i="11"/>
  <c r="BH32" i="11"/>
  <c r="AI34" i="11"/>
  <c r="AI32" i="11"/>
  <c r="BE34" i="11"/>
  <c r="BE32" i="11"/>
  <c r="AE34" i="11"/>
  <c r="AE32" i="11"/>
  <c r="BC32" i="11"/>
  <c r="BC34" i="11"/>
  <c r="H54" i="11"/>
  <c r="K42" i="11"/>
  <c r="H56" i="11"/>
  <c r="AL34" i="11"/>
  <c r="AL32" i="11"/>
  <c r="BA34" i="11"/>
  <c r="BA32" i="11"/>
  <c r="L34" i="11"/>
  <c r="L32" i="11"/>
  <c r="Q34" i="11"/>
  <c r="Q32" i="11"/>
  <c r="P32" i="11"/>
  <c r="P34" i="11"/>
  <c r="V34" i="11"/>
  <c r="V32" i="11"/>
  <c r="BM32" i="11"/>
  <c r="BM34" i="11"/>
  <c r="AK34" i="11"/>
  <c r="AK32" i="11"/>
  <c r="AW42" i="11"/>
  <c r="AN42" i="11"/>
  <c r="X42" i="11"/>
  <c r="AG42" i="11"/>
  <c r="W42" i="11"/>
  <c r="P42" i="11"/>
  <c r="AH42" i="11"/>
  <c r="T42" i="11"/>
  <c r="AE42" i="11"/>
  <c r="Q42" i="11"/>
  <c r="AY42" i="11"/>
  <c r="BD42" i="11"/>
  <c r="O42" i="11"/>
  <c r="BA42" i="11"/>
  <c r="AD42" i="11"/>
  <c r="Y42" i="11"/>
  <c r="AS42" i="11"/>
  <c r="AP42" i="11"/>
  <c r="BH42" i="11"/>
  <c r="BK42" i="11"/>
  <c r="AF42" i="11"/>
  <c r="AX42" i="11"/>
  <c r="S42" i="11"/>
  <c r="AZ42" i="11"/>
  <c r="AR42" i="11"/>
  <c r="J42" i="11"/>
  <c r="BL42" i="11"/>
  <c r="BN42" i="11"/>
  <c r="F54" i="11"/>
  <c r="AL42" i="11"/>
  <c r="V42" i="11"/>
  <c r="AO42" i="11"/>
  <c r="L42" i="11"/>
  <c r="U42" i="11"/>
  <c r="BE42" i="11"/>
  <c r="AT42" i="11"/>
  <c r="AV42" i="11"/>
  <c r="AJ42" i="11"/>
  <c r="AA42" i="11"/>
  <c r="F56" i="11"/>
  <c r="BB42" i="11"/>
  <c r="AQ42" i="11"/>
  <c r="BG42" i="11"/>
  <c r="AI42" i="11"/>
  <c r="Z42" i="11"/>
  <c r="BI42" i="11"/>
  <c r="AB42" i="11"/>
  <c r="BJ42" i="11"/>
  <c r="I42" i="11"/>
  <c r="AU42" i="11"/>
  <c r="BM42" i="11"/>
  <c r="AC42" i="11"/>
  <c r="N42" i="11"/>
  <c r="AK42" i="11"/>
  <c r="BF42" i="11"/>
  <c r="M42" i="11"/>
  <c r="R42" i="11"/>
  <c r="AM42" i="11"/>
  <c r="BC42" i="11"/>
  <c r="AY34" i="11"/>
  <c r="AY32" i="11"/>
  <c r="F36" i="11"/>
  <c r="BJ32" i="11"/>
  <c r="BJ34" i="11"/>
  <c r="AZ34" i="11"/>
  <c r="AZ32" i="11"/>
  <c r="BG34" i="11"/>
  <c r="BG32" i="11"/>
  <c r="AZ36" i="11" l="1"/>
  <c r="BG36" i="11"/>
  <c r="AK36" i="11"/>
  <c r="V36" i="11"/>
  <c r="Q36" i="11"/>
  <c r="BA36" i="11"/>
  <c r="O36" i="11"/>
  <c r="N36" i="11"/>
  <c r="AQ36" i="11"/>
  <c r="U36" i="11"/>
  <c r="AE36" i="11"/>
  <c r="AI36" i="11"/>
  <c r="AM36" i="11"/>
  <c r="S36" i="11"/>
  <c r="M36" i="11"/>
  <c r="L36" i="11"/>
  <c r="AL36" i="11"/>
  <c r="AC36" i="11"/>
  <c r="AB36" i="11"/>
  <c r="AD36" i="11"/>
  <c r="BD36" i="11"/>
  <c r="AX36" i="11"/>
  <c r="AG36" i="11"/>
  <c r="AA36" i="11"/>
  <c r="R36" i="11"/>
  <c r="AO36" i="11"/>
  <c r="AP36" i="11"/>
  <c r="BE36" i="11"/>
  <c r="BH36" i="11"/>
  <c r="BI36" i="11"/>
  <c r="AT36" i="11"/>
  <c r="AN36" i="11"/>
  <c r="M56" i="11"/>
  <c r="M54" i="11"/>
  <c r="AC56" i="11"/>
  <c r="AC54" i="11"/>
  <c r="BJ56" i="11"/>
  <c r="BJ54" i="11"/>
  <c r="AI56" i="11"/>
  <c r="AI54" i="11"/>
  <c r="AT56" i="11"/>
  <c r="AT54" i="11"/>
  <c r="AO54" i="11"/>
  <c r="AO56" i="11"/>
  <c r="BN56" i="11"/>
  <c r="BN54" i="11"/>
  <c r="AZ56" i="11"/>
  <c r="AZ54" i="11"/>
  <c r="BK54" i="11"/>
  <c r="BK56" i="11"/>
  <c r="Y54" i="11"/>
  <c r="Y56" i="11"/>
  <c r="BD54" i="11"/>
  <c r="BD56" i="11"/>
  <c r="T56" i="11"/>
  <c r="T54" i="11"/>
  <c r="AG54" i="11"/>
  <c r="AG56" i="11"/>
  <c r="BJ36" i="11"/>
  <c r="BC54" i="11"/>
  <c r="BC56" i="11"/>
  <c r="BF56" i="11"/>
  <c r="BF54" i="11"/>
  <c r="BM56" i="11"/>
  <c r="BM54" i="11"/>
  <c r="AB54" i="11"/>
  <c r="AB56" i="11"/>
  <c r="BG56" i="11"/>
  <c r="BG54" i="11"/>
  <c r="AA56" i="11"/>
  <c r="AA54" i="11"/>
  <c r="BE54" i="11"/>
  <c r="BE56" i="11"/>
  <c r="V56" i="11"/>
  <c r="V54" i="11"/>
  <c r="BL54" i="11"/>
  <c r="BL56" i="11"/>
  <c r="S56" i="11"/>
  <c r="S54" i="11"/>
  <c r="BH54" i="11"/>
  <c r="BH56" i="11"/>
  <c r="AD54" i="11"/>
  <c r="AD56" i="11"/>
  <c r="AY56" i="11"/>
  <c r="AY54" i="11"/>
  <c r="AH54" i="11"/>
  <c r="AH56" i="11"/>
  <c r="X56" i="11"/>
  <c r="X54" i="11"/>
  <c r="BC36" i="11"/>
  <c r="AS36" i="11"/>
  <c r="AH36" i="11"/>
  <c r="AM54" i="11"/>
  <c r="AM56" i="11"/>
  <c r="AK56" i="11"/>
  <c r="AK54" i="11"/>
  <c r="AU56" i="11"/>
  <c r="AU54" i="11"/>
  <c r="BI56" i="11"/>
  <c r="BI54" i="11"/>
  <c r="AQ56" i="11"/>
  <c r="AQ54" i="11"/>
  <c r="AJ54" i="11"/>
  <c r="AJ56" i="11"/>
  <c r="U56" i="11"/>
  <c r="U54" i="11"/>
  <c r="AL56" i="11"/>
  <c r="AL54" i="11"/>
  <c r="J54" i="11"/>
  <c r="J56" i="11"/>
  <c r="AX56" i="11"/>
  <c r="AX54" i="11"/>
  <c r="AP54" i="11"/>
  <c r="AP56" i="11"/>
  <c r="BA56" i="11"/>
  <c r="BA54" i="11"/>
  <c r="Q56" i="11"/>
  <c r="Q54" i="11"/>
  <c r="P56" i="11"/>
  <c r="P54" i="11"/>
  <c r="AN54" i="11"/>
  <c r="AN56" i="11"/>
  <c r="H58" i="11"/>
  <c r="H60" i="11" s="1"/>
  <c r="Z36" i="11"/>
  <c r="AU36" i="11"/>
  <c r="AY36" i="11"/>
  <c r="R56" i="11"/>
  <c r="R54" i="11"/>
  <c r="N56" i="11"/>
  <c r="N54" i="11"/>
  <c r="I56" i="11"/>
  <c r="I54" i="11"/>
  <c r="Z54" i="11"/>
  <c r="Z56" i="11"/>
  <c r="BB56" i="11"/>
  <c r="BB54" i="11"/>
  <c r="AV54" i="11"/>
  <c r="AV56" i="11"/>
  <c r="L56" i="11"/>
  <c r="L54" i="11"/>
  <c r="F58" i="11"/>
  <c r="F60" i="11" s="1"/>
  <c r="F61" i="11" s="1"/>
  <c r="O6" i="3" s="1"/>
  <c r="AR56" i="11"/>
  <c r="AR54" i="11"/>
  <c r="AF56" i="11"/>
  <c r="AF54" i="11"/>
  <c r="AS56" i="11"/>
  <c r="AS54" i="11"/>
  <c r="O56" i="11"/>
  <c r="O54" i="11"/>
  <c r="AE56" i="11"/>
  <c r="AE54" i="11"/>
  <c r="W56" i="11"/>
  <c r="W54" i="11"/>
  <c r="AW54" i="11"/>
  <c r="AW56" i="11"/>
  <c r="BM36" i="11"/>
  <c r="P36" i="11"/>
  <c r="BK36" i="11"/>
  <c r="BF36" i="11"/>
  <c r="X36" i="11"/>
  <c r="T36" i="11"/>
  <c r="BL36" i="11"/>
  <c r="Y36" i="11"/>
  <c r="BB36" i="11"/>
  <c r="W36" i="11"/>
  <c r="AV36" i="11"/>
  <c r="L58" i="11" l="1"/>
  <c r="L60" i="11" s="1"/>
  <c r="H65" i="11" s="1"/>
  <c r="H76" i="11" s="1"/>
  <c r="BB58" i="11"/>
  <c r="BB60" i="11" s="1"/>
  <c r="Q68" i="11" s="1"/>
  <c r="Q79" i="11" s="1"/>
  <c r="I58" i="11"/>
  <c r="I60" i="11" s="1"/>
  <c r="R58" i="11"/>
  <c r="R60" i="11" s="1"/>
  <c r="N65" i="11" s="1"/>
  <c r="N76" i="11" s="1"/>
  <c r="P58" i="11"/>
  <c r="P60" i="11" s="1"/>
  <c r="L65" i="11" s="1"/>
  <c r="L76" i="11" s="1"/>
  <c r="BA58" i="11"/>
  <c r="BA60" i="11" s="1"/>
  <c r="P68" i="11" s="1"/>
  <c r="P79" i="11" s="1"/>
  <c r="AX58" i="11"/>
  <c r="AX60" i="11" s="1"/>
  <c r="M68" i="11" s="1"/>
  <c r="M79" i="11" s="1"/>
  <c r="AL58" i="11"/>
  <c r="AL60" i="11" s="1"/>
  <c r="L67" i="11" s="1"/>
  <c r="L78" i="11" s="1"/>
  <c r="BI58" i="11"/>
  <c r="BI60" i="11" s="1"/>
  <c r="M69" i="11" s="1"/>
  <c r="M80" i="11" s="1"/>
  <c r="AK58" i="11"/>
  <c r="AK60" i="11" s="1"/>
  <c r="K67" i="11" s="1"/>
  <c r="K78" i="11" s="1"/>
  <c r="S58" i="11"/>
  <c r="S60" i="11" s="1"/>
  <c r="O65" i="11" s="1"/>
  <c r="O76" i="11" s="1"/>
  <c r="V58" i="11"/>
  <c r="V60" i="11" s="1"/>
  <c r="R65" i="11" s="1"/>
  <c r="R76" i="11" s="1"/>
  <c r="AA58" i="11"/>
  <c r="AA60" i="11" s="1"/>
  <c r="L66" i="11" s="1"/>
  <c r="L77" i="11" s="1"/>
  <c r="BF58" i="11"/>
  <c r="BF60" i="11" s="1"/>
  <c r="J69" i="11" s="1"/>
  <c r="J80" i="11" s="1"/>
  <c r="X58" i="11"/>
  <c r="X60" i="11" s="1"/>
  <c r="I66" i="11" s="1"/>
  <c r="I77" i="11" s="1"/>
  <c r="AY58" i="11"/>
  <c r="AY60" i="11" s="1"/>
  <c r="N68" i="11" s="1"/>
  <c r="N79" i="11" s="1"/>
  <c r="BG58" i="11"/>
  <c r="BG60" i="11" s="1"/>
  <c r="K69" i="11" s="1"/>
  <c r="K80" i="11" s="1"/>
  <c r="BM58" i="11"/>
  <c r="BM60" i="11" s="1"/>
  <c r="Q69" i="11" s="1"/>
  <c r="Q80" i="11" s="1"/>
  <c r="Y58" i="11"/>
  <c r="Y60" i="11" s="1"/>
  <c r="J66" i="11" s="1"/>
  <c r="J77" i="11" s="1"/>
  <c r="AO58" i="11"/>
  <c r="AO60" i="11" s="1"/>
  <c r="O67" i="11" s="1"/>
  <c r="O78" i="11" s="1"/>
  <c r="AW58" i="11"/>
  <c r="AW60" i="11" s="1"/>
  <c r="L68" i="11" s="1"/>
  <c r="L79" i="11" s="1"/>
  <c r="N58" i="11"/>
  <c r="N60" i="11" s="1"/>
  <c r="J65" i="11" s="1"/>
  <c r="J76" i="11" s="1"/>
  <c r="W58" i="11"/>
  <c r="W60" i="11" s="1"/>
  <c r="H66" i="11" s="1"/>
  <c r="H77" i="11" s="1"/>
  <c r="O58" i="11"/>
  <c r="O60" i="11" s="1"/>
  <c r="K65" i="11" s="1"/>
  <c r="K76" i="11" s="1"/>
  <c r="AF58" i="11"/>
  <c r="AF60" i="11" s="1"/>
  <c r="Q66" i="11" s="1"/>
  <c r="Q77" i="11" s="1"/>
  <c r="BN58" i="11"/>
  <c r="BN60" i="11" s="1"/>
  <c r="R69" i="11" s="1"/>
  <c r="R80" i="11" s="1"/>
  <c r="AT58" i="11"/>
  <c r="AT60" i="11" s="1"/>
  <c r="I68" i="11" s="1"/>
  <c r="I79" i="11" s="1"/>
  <c r="BJ58" i="11"/>
  <c r="BJ60" i="11" s="1"/>
  <c r="N69" i="11" s="1"/>
  <c r="N80" i="11" s="1"/>
  <c r="M58" i="11"/>
  <c r="M60" i="11" s="1"/>
  <c r="I65" i="11" s="1"/>
  <c r="I76" i="11" s="1"/>
  <c r="AN58" i="11"/>
  <c r="AN60" i="11" s="1"/>
  <c r="N67" i="11" s="1"/>
  <c r="N78" i="11" s="1"/>
  <c r="AP58" i="11"/>
  <c r="AP60" i="11" s="1"/>
  <c r="P67" i="11" s="1"/>
  <c r="P78" i="11" s="1"/>
  <c r="J58" i="11"/>
  <c r="J60" i="11" s="1"/>
  <c r="AM58" i="11"/>
  <c r="AM60" i="11" s="1"/>
  <c r="M67" i="11" s="1"/>
  <c r="M78" i="11" s="1"/>
  <c r="AV58" i="11"/>
  <c r="AV60" i="11" s="1"/>
  <c r="K68" i="11" s="1"/>
  <c r="K79" i="11" s="1"/>
  <c r="Z58" i="11"/>
  <c r="Z60" i="11" s="1"/>
  <c r="K66" i="11" s="1"/>
  <c r="K77" i="11" s="1"/>
  <c r="AH58" i="11"/>
  <c r="AH60" i="11" s="1"/>
  <c r="H67" i="11" s="1"/>
  <c r="H78" i="11" s="1"/>
  <c r="AD58" i="11"/>
  <c r="AD60" i="11" s="1"/>
  <c r="O66" i="11" s="1"/>
  <c r="O77" i="11" s="1"/>
  <c r="AB58" i="11"/>
  <c r="AB60" i="11" s="1"/>
  <c r="M66" i="11" s="1"/>
  <c r="M77" i="11" s="1"/>
  <c r="AJ58" i="11"/>
  <c r="AJ60" i="11" s="1"/>
  <c r="J67" i="11" s="1"/>
  <c r="J78" i="11" s="1"/>
  <c r="AG58" i="11"/>
  <c r="AG60" i="11" s="1"/>
  <c r="R66" i="11" s="1"/>
  <c r="R77" i="11" s="1"/>
  <c r="BD58" i="11"/>
  <c r="BD60" i="11" s="1"/>
  <c r="H69" i="11" s="1"/>
  <c r="H80" i="11" s="1"/>
  <c r="BK58" i="11"/>
  <c r="BK60" i="11" s="1"/>
  <c r="O69" i="11" s="1"/>
  <c r="O80" i="11" s="1"/>
  <c r="AE58" i="11"/>
  <c r="AE60" i="11" s="1"/>
  <c r="P66" i="11" s="1"/>
  <c r="P77" i="11" s="1"/>
  <c r="AS58" i="11"/>
  <c r="AS60" i="11" s="1"/>
  <c r="H68" i="11" s="1"/>
  <c r="H79" i="11" s="1"/>
  <c r="AR58" i="11"/>
  <c r="AR60" i="11" s="1"/>
  <c r="R67" i="11" s="1"/>
  <c r="R78" i="11" s="1"/>
  <c r="Q58" i="11"/>
  <c r="Q60" i="11" s="1"/>
  <c r="M65" i="11" s="1"/>
  <c r="M76" i="11" s="1"/>
  <c r="U58" i="11"/>
  <c r="U60" i="11" s="1"/>
  <c r="Q65" i="11" s="1"/>
  <c r="Q76" i="11" s="1"/>
  <c r="AQ58" i="11"/>
  <c r="AQ60" i="11" s="1"/>
  <c r="Q67" i="11" s="1"/>
  <c r="Q78" i="11" s="1"/>
  <c r="AU58" i="11"/>
  <c r="AU60" i="11" s="1"/>
  <c r="J68" i="11" s="1"/>
  <c r="J79" i="11" s="1"/>
  <c r="BH58" i="11"/>
  <c r="BH60" i="11" s="1"/>
  <c r="L69" i="11" s="1"/>
  <c r="L80" i="11" s="1"/>
  <c r="BL58" i="11"/>
  <c r="BL60" i="11" s="1"/>
  <c r="P69" i="11" s="1"/>
  <c r="P80" i="11" s="1"/>
  <c r="BE58" i="11"/>
  <c r="BE60" i="11" s="1"/>
  <c r="I69" i="11" s="1"/>
  <c r="I80" i="11" s="1"/>
  <c r="BC58" i="11"/>
  <c r="BC60" i="11" s="1"/>
  <c r="R68" i="11" s="1"/>
  <c r="R79" i="11" s="1"/>
  <c r="T58" i="11"/>
  <c r="T60" i="11" s="1"/>
  <c r="P65" i="11" s="1"/>
  <c r="P76" i="11" s="1"/>
  <c r="AZ58" i="11"/>
  <c r="AZ60" i="11" s="1"/>
  <c r="O68" i="11" s="1"/>
  <c r="O79" i="11" s="1"/>
  <c r="AI58" i="11"/>
  <c r="AI60" i="11" s="1"/>
  <c r="I67" i="11" s="1"/>
  <c r="I78" i="11" s="1"/>
  <c r="AC58" i="11"/>
  <c r="AC60" i="11" s="1"/>
  <c r="N66" i="11" s="1"/>
  <c r="N77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 Murphy</author>
    <author>Mairead Murphy</author>
  </authors>
  <commentList>
    <comment ref="BO7" authorId="0" shapeId="0" xr:uid="{7FA6CAA1-6841-45A6-BEF0-C29AAD98BCAE}">
      <text>
        <r>
          <rPr>
            <b/>
            <sz val="9"/>
            <color indexed="81"/>
            <rFont val="Tahoma"/>
            <family val="2"/>
          </rPr>
          <t>CM Murphy:</t>
        </r>
        <r>
          <rPr>
            <sz val="9"/>
            <color indexed="81"/>
            <rFont val="Tahoma"/>
            <family val="2"/>
          </rPr>
          <t xml:space="preserve">
Used for the x axis label on the chart</t>
        </r>
      </text>
    </comment>
    <comment ref="E25" authorId="0" shapeId="0" xr:uid="{1C7859DA-F455-4EA2-923D-409B4F69A800}">
      <text>
        <r>
          <rPr>
            <b/>
            <sz val="9"/>
            <color indexed="81"/>
            <rFont val="Tahoma"/>
            <family val="2"/>
          </rPr>
          <t>CM Murphy:</t>
        </r>
        <r>
          <rPr>
            <sz val="9"/>
            <color indexed="81"/>
            <rFont val="Tahoma"/>
            <family val="2"/>
          </rPr>
          <t xml:space="preserve">
(Proportion acessing e-consultation) x (arrival proportion)</t>
        </r>
      </text>
    </comment>
    <comment ref="E26" authorId="0" shapeId="0" xr:uid="{D7BB8813-D3C7-44D2-8D2F-AE09776112A3}">
      <text>
        <r>
          <rPr>
            <b/>
            <sz val="9"/>
            <color indexed="81"/>
            <rFont val="Tahoma"/>
            <family val="2"/>
          </rPr>
          <t>CM Murphy:</t>
        </r>
        <r>
          <rPr>
            <sz val="9"/>
            <color indexed="81"/>
            <rFont val="Tahoma"/>
            <family val="2"/>
          </rPr>
          <t xml:space="preserve">
Formual for e-consult in two parts added together:
1. (1-E1)*(1-X1-conventional) : i.e.  Proportion not accessing e-first (uninflated) *  proportion who, in a conventional model, would access F2F rather than telephone.
2. ArrivalProportion*E1*(1-E2)*X1e: i.e. Proportion accessing e-first inflated (arrivalproportion*E1) * proportion not managed out straighaway (1-E2) * (proportion of those which have F2F)
Formula for telephone/video first = 1-X1: i.e. proporation not accessing telephone first (uninflated)</t>
        </r>
      </text>
    </comment>
    <comment ref="E27" authorId="1" shapeId="0" xr:uid="{544AE735-3EDA-45BD-9046-C51F50BE8E38}">
      <text>
        <r>
          <rPr>
            <b/>
            <sz val="9"/>
            <color indexed="81"/>
            <rFont val="Tahoma"/>
            <family val="2"/>
          </rPr>
          <t>Mairead Murphy:</t>
        </r>
        <r>
          <rPr>
            <sz val="9"/>
            <color indexed="81"/>
            <rFont val="Tahoma"/>
            <family val="2"/>
          </rPr>
          <t xml:space="preserve">
CM Murphy:
Formual for e-consult in two parts added together:
1. (1-E1)*(X1-conventional) : i.e.  Proportion not accessing e-first (uninflated) *  proportion who, in a conventional model, would access telephone rather than F2F
2. ArrivalProportion*E1*(1-E2)*X1e: i.e. Proportion accessing e-first inflated (arrivalproportion*E1) x proportion not managed out straighaway (1-E2) * (proportion of those which have telephone/video)
Formular for telephone/video:
1. Arrival proportion * access rate
</t>
        </r>
      </text>
    </comment>
    <comment ref="E28" authorId="0" shapeId="0" xr:uid="{24F76E32-8E4D-431E-8E5D-F7CDECC5EE50}">
      <text>
        <r>
          <rPr>
            <b/>
            <sz val="9"/>
            <color indexed="81"/>
            <rFont val="Tahoma"/>
            <family val="2"/>
          </rPr>
          <t>CM Murphy:</t>
        </r>
        <r>
          <rPr>
            <sz val="9"/>
            <color indexed="81"/>
            <rFont val="Tahoma"/>
            <family val="2"/>
          </rPr>
          <t xml:space="preserve">
(GP Alt-con as first contact) x
(1 - Alt-Con completion rate) </t>
        </r>
      </text>
    </comment>
  </commentList>
</comments>
</file>

<file path=xl/sharedStrings.xml><?xml version="1.0" encoding="utf-8"?>
<sst xmlns="http://schemas.openxmlformats.org/spreadsheetml/2006/main" count="192" uniqueCount="127">
  <si>
    <t>workload cost of new model as % of conventional</t>
  </si>
  <si>
    <t>upper estimate</t>
  </si>
  <si>
    <t>lower estimate</t>
  </si>
  <si>
    <t>increment</t>
  </si>
  <si>
    <t>variable</t>
  </si>
  <si>
    <t>base case</t>
  </si>
  <si>
    <t>lower mid</t>
  </si>
  <si>
    <t>baseline estimate</t>
  </si>
  <si>
    <t>upper mid</t>
  </si>
  <si>
    <t>X axis</t>
  </si>
  <si>
    <t>data series lines</t>
  </si>
  <si>
    <t>lower-mid estimate</t>
  </si>
  <si>
    <t>upper-mid estimate</t>
  </si>
  <si>
    <t>s=lower estimate</t>
  </si>
  <si>
    <t>s=lower mid estimate</t>
  </si>
  <si>
    <t>s=base case estimate</t>
  </si>
  <si>
    <t>s=upper mid</t>
  </si>
  <si>
    <t>s=upper</t>
  </si>
  <si>
    <t>X1</t>
  </si>
  <si>
    <t>X3</t>
  </si>
  <si>
    <t>X2</t>
  </si>
  <si>
    <t>Y axis variable</t>
  </si>
  <si>
    <t>Process 3</t>
  </si>
  <si>
    <t>Process 1</t>
  </si>
  <si>
    <t>Process 4</t>
  </si>
  <si>
    <t>proportion managed through conventional route by doctor</t>
  </si>
  <si>
    <t>Proportion managed through new route (always GP)</t>
  </si>
  <si>
    <t>Process 0</t>
  </si>
  <si>
    <t>Minutes per patient contact - alternative route: adjusted for cost</t>
  </si>
  <si>
    <t>Total minutes, adjusted for cost</t>
  </si>
  <si>
    <t>Total minutes of conventional, without any additional access inflation</t>
  </si>
  <si>
    <t>Conventional (telephone as exception)</t>
  </si>
  <si>
    <t>conventional route (telephone as exception)</t>
  </si>
  <si>
    <r>
      <rPr>
        <b/>
        <sz val="11"/>
        <color theme="1"/>
        <rFont val="Arial"/>
        <family val="2"/>
        <scheme val="minor"/>
      </rPr>
      <t xml:space="preserve">Alt-Con Access rate: </t>
    </r>
    <r>
      <rPr>
        <sz val="11"/>
        <color theme="1"/>
        <rFont val="Arial"/>
        <family val="2"/>
        <scheme val="minor"/>
      </rPr>
      <t>% of consultations managed using the new access route</t>
    </r>
  </si>
  <si>
    <t>Alternative Consultation Variables</t>
  </si>
  <si>
    <t>Conventional Consultation Variables</t>
  </si>
  <si>
    <r>
      <rPr>
        <b/>
        <sz val="11"/>
        <color theme="1"/>
        <rFont val="Calibri"/>
        <family val="2"/>
      </rPr>
      <t>GP F2F time: Average time</t>
    </r>
    <r>
      <rPr>
        <sz val="11"/>
        <color theme="1"/>
        <rFont val="Arial"/>
        <family val="2"/>
        <scheme val="minor"/>
      </rPr>
      <t xml:space="preserve"> spent by GP on conventional face to face consultation (minutes)</t>
    </r>
  </si>
  <si>
    <r>
      <rPr>
        <b/>
        <sz val="11"/>
        <color theme="1"/>
        <rFont val="Calibri"/>
        <family val="2"/>
      </rPr>
      <t>Alt-con time</t>
    </r>
    <r>
      <rPr>
        <sz val="11"/>
        <color theme="1"/>
        <rFont val="Arial"/>
        <family val="2"/>
        <scheme val="minor"/>
      </rPr>
      <t>: Average time spent by GP on alternative format</t>
    </r>
  </si>
  <si>
    <r>
      <rPr>
        <b/>
        <sz val="11"/>
        <color theme="1"/>
        <rFont val="Arial"/>
        <family val="2"/>
        <scheme val="minor"/>
      </rPr>
      <t xml:space="preserve">Alt-con completion rate: </t>
    </r>
    <r>
      <rPr>
        <sz val="11"/>
        <color theme="1"/>
        <rFont val="Arial"/>
        <family val="2"/>
        <scheme val="minor"/>
      </rPr>
      <t>% of consultations managed in new way without any further assessment</t>
    </r>
  </si>
  <si>
    <t>% going through digital triage</t>
  </si>
  <si>
    <t>Patient proprtions - alternative route (proportions inflated)</t>
  </si>
  <si>
    <t>No</t>
  </si>
  <si>
    <t>Yes</t>
  </si>
  <si>
    <t>Alt-Con access rate</t>
  </si>
  <si>
    <t>Alt-con time</t>
  </si>
  <si>
    <t>Alt-con completion rate</t>
  </si>
  <si>
    <t>GP F2F time</t>
  </si>
  <si>
    <t>e-consulation access rate</t>
  </si>
  <si>
    <t>e-consulation completion rate</t>
  </si>
  <si>
    <t>percent</t>
  </si>
  <si>
    <t>number</t>
  </si>
  <si>
    <t>X-axis format</t>
  </si>
  <si>
    <t>Legend format</t>
  </si>
  <si>
    <t>Supply induced demand</t>
  </si>
  <si>
    <t>e-consultation clincian time (mins)</t>
  </si>
  <si>
    <t>E1/X1</t>
  </si>
  <si>
    <t>E2/X2</t>
  </si>
  <si>
    <t>E3/X3</t>
  </si>
  <si>
    <t>E5/X5</t>
  </si>
  <si>
    <t>F1</t>
  </si>
  <si>
    <t>E1</t>
  </si>
  <si>
    <t>E2</t>
  </si>
  <si>
    <t>E3</t>
  </si>
  <si>
    <t>ArrivalProportion</t>
  </si>
  <si>
    <t>Always zero for conventional</t>
  </si>
  <si>
    <t>Minutes per patient contact - conventional route: adjusted for cost</t>
  </si>
  <si>
    <t>The is the total additional demand routed into the system at the very beginning</t>
  </si>
  <si>
    <t>proportion managed through digital first</t>
  </si>
  <si>
    <t>E1 x Arrival proprtion</t>
  </si>
  <si>
    <t>Supply-induced demand</t>
  </si>
  <si>
    <t>GP F2F appt as first real time contact</t>
  </si>
  <si>
    <t>GP tele or video as first real time contact</t>
  </si>
  <si>
    <t>workload cost managed through tele or video as first real time contact (always GP)</t>
  </si>
  <si>
    <t xml:space="preserve"> workload cost managed through GP f2f as first real time contact by doctor</t>
  </si>
  <si>
    <t>Workload cost managed through digital first</t>
  </si>
  <si>
    <t>proportion managed through f2f following telephone  by doctor (or following nurse consultation)</t>
  </si>
  <si>
    <t>highlight base case on x axis</t>
  </si>
  <si>
    <t>base case if x</t>
  </si>
  <si>
    <t>e-consult first</t>
  </si>
  <si>
    <t>telephone first</t>
  </si>
  <si>
    <t>video first</t>
  </si>
  <si>
    <r>
      <rPr>
        <b/>
        <sz val="11"/>
        <color theme="1"/>
        <rFont val="Arial"/>
        <family val="2"/>
        <scheme val="minor"/>
      </rPr>
      <t>Supply-induced demand</t>
    </r>
    <r>
      <rPr>
        <sz val="11"/>
        <color theme="1"/>
        <rFont val="Arial"/>
        <family val="2"/>
        <scheme val="minor"/>
      </rPr>
      <t>: % of alternative form consultations which are new demand</t>
    </r>
  </si>
  <si>
    <t>digital: supply-induced demand compared with original</t>
  </si>
  <si>
    <t>tel/video: Supply induced demand compared with original</t>
  </si>
  <si>
    <t>Of those having a real-time consultation after e-consult, % having phone consultation</t>
  </si>
  <si>
    <t>(X1)e</t>
  </si>
  <si>
    <t>Duration of face to face consultation (minutes)</t>
  </si>
  <si>
    <t>GP F2F after GP Alt-Con</t>
  </si>
  <si>
    <t>workload cost through f2f following new route by doctor</t>
  </si>
  <si>
    <t>Alternative Access Route Variables</t>
  </si>
  <si>
    <t>Conventional care Variables</t>
  </si>
  <si>
    <t>n</t>
  </si>
  <si>
    <t>Access Rate</t>
  </si>
  <si>
    <t>Completion Rate</t>
  </si>
  <si>
    <t>Phone via e-consult</t>
  </si>
  <si>
    <t>e-consult access rate</t>
  </si>
  <si>
    <t>e-consult completion rate</t>
  </si>
  <si>
    <t>Telephone first</t>
  </si>
  <si>
    <t>Video first</t>
  </si>
  <si>
    <t>Workload compared to conventional care, value</t>
  </si>
  <si>
    <t>base case variable and value</t>
  </si>
  <si>
    <t>E4</t>
  </si>
  <si>
    <t>X4</t>
  </si>
  <si>
    <t>X1(e)</t>
  </si>
  <si>
    <t xml:space="preserve">X1(e) </t>
  </si>
  <si>
    <t>F2</t>
  </si>
  <si>
    <t>% of conventional consultations managed by telephone</t>
  </si>
  <si>
    <t>Process 2</t>
  </si>
  <si>
    <t>e-consult=(1-E1)*(1-X1-conventional) + ArrivalProportion*E1*(1-E2)*X1e  : tel/video = 1-X1</t>
  </si>
  <si>
    <t>e-consult=(1-E1)*(X1-conventional) + ArrivalProportion*E1*(1-E2)*(1-X1e)  : tel/video = ArrivalRate*X1 + (1-X1)*X1-conventional</t>
  </si>
  <si>
    <t>proportion managed through f2f following new route by doctor</t>
  </si>
  <si>
    <t>Which access route do you wish to model?  (select drop-down)</t>
  </si>
  <si>
    <t>Default variables</t>
  </si>
  <si>
    <r>
      <rPr>
        <b/>
        <sz val="9"/>
        <color theme="5" tint="-0.499984740745262"/>
        <rFont val="Arial"/>
        <family val="2"/>
      </rPr>
      <t>Access rate: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% of consultations initially requested in this way</t>
    </r>
  </si>
  <si>
    <r>
      <rPr>
        <b/>
        <sz val="9"/>
        <color theme="5" tint="-0.499984740745262"/>
        <rFont val="Arial"/>
        <family val="2"/>
      </rPr>
      <t>Phone via e-consult</t>
    </r>
    <r>
      <rPr>
        <sz val="9"/>
        <color theme="1"/>
        <rFont val="Arial"/>
        <family val="2"/>
      </rPr>
      <t>: Of those having a real-time consultation after e-consult, % having phone rather than F2F consultation</t>
    </r>
  </si>
  <si>
    <t>Process 3 * X2</t>
  </si>
  <si>
    <t>Row headings for tel/video</t>
  </si>
  <si>
    <t>Row headings for e-consult</t>
  </si>
  <si>
    <t>Named ranges and contents of drop-downs ----&gt;</t>
  </si>
  <si>
    <r>
      <rPr>
        <b/>
        <sz val="9"/>
        <color theme="5" tint="-0.499984740745262"/>
        <rFont val="Arial"/>
        <family val="2"/>
      </rPr>
      <t>Completion rate</t>
    </r>
    <r>
      <rPr>
        <b/>
        <sz val="9"/>
        <color theme="1"/>
        <rFont val="Arial"/>
        <family val="2"/>
      </rPr>
      <t xml:space="preserve">: </t>
    </r>
    <r>
      <rPr>
        <sz val="9"/>
        <color theme="1"/>
        <rFont val="Arial"/>
        <family val="2"/>
      </rPr>
      <t>% of digital consultations completed without needing a subsequent consultation</t>
    </r>
  </si>
  <si>
    <r>
      <rPr>
        <b/>
        <sz val="9"/>
        <color theme="5" tint="-0.499984740745262"/>
        <rFont val="Arial"/>
        <family val="2"/>
      </rPr>
      <t>Consultation Duration</t>
    </r>
    <r>
      <rPr>
        <sz val="9"/>
        <color theme="5" tint="-0.499984740745262"/>
        <rFont val="Arial"/>
        <family val="2"/>
      </rPr>
      <t xml:space="preserve">: </t>
    </r>
    <r>
      <rPr>
        <sz val="9"/>
        <color theme="1"/>
        <rFont val="Arial"/>
        <family val="2"/>
      </rPr>
      <t>Average time spent by GP on this type of consultation (minutes)</t>
    </r>
  </si>
  <si>
    <t>Consultation Duration</t>
  </si>
  <si>
    <t>Supply-related demand</t>
  </si>
  <si>
    <t>e-consult consultation duration</t>
  </si>
  <si>
    <t>e-consult supply-related demand</t>
  </si>
  <si>
    <t>Workload compared to conventional care</t>
  </si>
  <si>
    <r>
      <rPr>
        <b/>
        <sz val="9"/>
        <color theme="5" tint="-0.499984740745262"/>
        <rFont val="Arial"/>
        <family val="2"/>
      </rPr>
      <t>Supply-related demand</t>
    </r>
    <r>
      <rPr>
        <sz val="9"/>
        <color theme="1"/>
        <rFont val="Arial"/>
        <family val="2"/>
      </rPr>
      <t>: % of digital consultations which are additional demand compared with a conventional appointment system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</si>
</sst>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00%"/>
    <numFmt numFmtId="166" formatCode="0.0%"/>
    <numFmt numFmtId="167" formatCode="_-* #,##0.0_-;\-* #,##0.0_-;_-* &quot;-&quot;??_-;_-@_-"/>
  </numFmts>
  <fonts count="30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249977111117893"/>
      <name val="Arial"/>
      <family val="2"/>
      <scheme val="minor"/>
    </font>
    <font>
      <sz val="11"/>
      <name val="Arial"/>
      <family val="2"/>
      <scheme val="minor"/>
    </font>
    <font>
      <sz val="11"/>
      <color theme="4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0"/>
      <color theme="2" tint="-0.249977111117893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color theme="1"/>
      <name val="Calibri"/>
      <family val="2"/>
    </font>
    <font>
      <sz val="10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6"/>
      <color theme="1"/>
      <name val="Arial"/>
      <family val="2"/>
      <scheme val="minor"/>
    </font>
    <font>
      <b/>
      <sz val="10.5"/>
      <color rgb="FF000000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scheme val="minor"/>
    </font>
    <font>
      <b/>
      <sz val="9"/>
      <color rgb="FF000000"/>
      <name val="Arial"/>
      <family val="2"/>
    </font>
    <font>
      <b/>
      <sz val="9"/>
      <color theme="5" tint="-0.499984740745262"/>
      <name val="Arial"/>
      <family val="2"/>
    </font>
    <font>
      <sz val="9"/>
      <color rgb="FF000000"/>
      <name val="Arial"/>
      <family val="2"/>
    </font>
    <font>
      <sz val="9"/>
      <color theme="5" tint="-0.499984740745262"/>
      <name val="Wingdings"/>
      <charset val="2"/>
    </font>
    <font>
      <sz val="9"/>
      <color theme="5" tint="-0.499984740745262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quotePrefix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9" fontId="0" fillId="0" borderId="0" xfId="0" applyNumberFormat="1" applyAlignment="1" applyProtection="1">
      <alignment vertical="center"/>
      <protection locked="0"/>
    </xf>
    <xf numFmtId="0" fontId="0" fillId="0" borderId="10" xfId="0" applyBorder="1" applyAlignment="1" applyProtection="1">
      <alignment wrapText="1"/>
      <protection locked="0"/>
    </xf>
    <xf numFmtId="9" fontId="0" fillId="0" borderId="11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7" fillId="0" borderId="0" xfId="0" applyFont="1" applyProtection="1">
      <protection locked="0"/>
    </xf>
    <xf numFmtId="0" fontId="1" fillId="4" borderId="3" xfId="0" applyFont="1" applyFill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9" fontId="0" fillId="2" borderId="11" xfId="0" applyNumberFormat="1" applyFill="1" applyBorder="1" applyProtection="1">
      <protection locked="0"/>
    </xf>
    <xf numFmtId="9" fontId="0" fillId="7" borderId="11" xfId="0" applyNumberFormat="1" applyFill="1" applyBorder="1" applyProtection="1">
      <protection locked="0"/>
    </xf>
    <xf numFmtId="9" fontId="0" fillId="8" borderId="11" xfId="0" applyNumberFormat="1" applyFill="1" applyBorder="1" applyProtection="1">
      <protection locked="0"/>
    </xf>
    <xf numFmtId="9" fontId="0" fillId="6" borderId="11" xfId="0" applyNumberFormat="1" applyFill="1" applyBorder="1" applyProtection="1">
      <protection locked="0"/>
    </xf>
    <xf numFmtId="0" fontId="7" fillId="4" borderId="15" xfId="0" quotePrefix="1" applyFont="1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1" fillId="4" borderId="19" xfId="0" applyFont="1" applyFill="1" applyBorder="1" applyAlignment="1" applyProtection="1">
      <alignment vertical="center" wrapText="1"/>
      <protection locked="0"/>
    </xf>
    <xf numFmtId="9" fontId="0" fillId="2" borderId="15" xfId="0" applyNumberFormat="1" applyFill="1" applyBorder="1" applyProtection="1">
      <protection locked="0"/>
    </xf>
    <xf numFmtId="9" fontId="0" fillId="2" borderId="16" xfId="0" applyNumberFormat="1" applyFill="1" applyBorder="1" applyProtection="1">
      <protection locked="0"/>
    </xf>
    <xf numFmtId="9" fontId="0" fillId="2" borderId="17" xfId="0" applyNumberFormat="1" applyFill="1" applyBorder="1" applyProtection="1">
      <protection locked="0"/>
    </xf>
    <xf numFmtId="9" fontId="0" fillId="7" borderId="20" xfId="0" applyNumberFormat="1" applyFill="1" applyBorder="1" applyProtection="1">
      <protection locked="0"/>
    </xf>
    <xf numFmtId="9" fontId="0" fillId="7" borderId="0" xfId="0" applyNumberFormat="1" applyFill="1" applyProtection="1">
      <protection locked="0"/>
    </xf>
    <xf numFmtId="9" fontId="0" fillId="7" borderId="21" xfId="0" applyNumberFormat="1" applyFill="1" applyBorder="1" applyProtection="1">
      <protection locked="0"/>
    </xf>
    <xf numFmtId="9" fontId="0" fillId="8" borderId="0" xfId="0" applyNumberFormat="1" applyFill="1" applyProtection="1">
      <protection locked="0"/>
    </xf>
    <xf numFmtId="9" fontId="0" fillId="8" borderId="21" xfId="0" applyNumberFormat="1" applyFill="1" applyBorder="1" applyProtection="1">
      <protection locked="0"/>
    </xf>
    <xf numFmtId="9" fontId="0" fillId="6" borderId="20" xfId="0" applyNumberFormat="1" applyFill="1" applyBorder="1" applyProtection="1">
      <protection locked="0"/>
    </xf>
    <xf numFmtId="9" fontId="0" fillId="6" borderId="0" xfId="0" applyNumberFormat="1" applyFill="1" applyProtection="1">
      <protection locked="0"/>
    </xf>
    <xf numFmtId="9" fontId="0" fillId="6" borderId="21" xfId="0" applyNumberFormat="1" applyFill="1" applyBorder="1" applyProtection="1">
      <protection locked="0"/>
    </xf>
    <xf numFmtId="9" fontId="0" fillId="9" borderId="22" xfId="0" applyNumberFormat="1" applyFill="1" applyBorder="1" applyProtection="1">
      <protection locked="0"/>
    </xf>
    <xf numFmtId="9" fontId="0" fillId="9" borderId="23" xfId="0" applyNumberFormat="1" applyFill="1" applyBorder="1" applyProtection="1">
      <protection locked="0"/>
    </xf>
    <xf numFmtId="9" fontId="0" fillId="9" borderId="24" xfId="0" applyNumberForma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5" xfId="0" quotePrefix="1" applyFill="1" applyBorder="1" applyProtection="1">
      <protection locked="0"/>
    </xf>
    <xf numFmtId="0" fontId="1" fillId="0" borderId="2" xfId="0" applyFont="1" applyBorder="1" applyAlignment="1" applyProtection="1">
      <alignment horizontal="centerContinuous" vertical="center" wrapText="1"/>
      <protection locked="0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0" fontId="1" fillId="0" borderId="4" xfId="0" applyFont="1" applyBorder="1" applyAlignment="1" applyProtection="1">
      <alignment horizontal="centerContinuous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wrapText="1"/>
      <protection locked="0"/>
    </xf>
    <xf numFmtId="2" fontId="0" fillId="0" borderId="26" xfId="0" applyNumberFormat="1" applyBorder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2" fontId="1" fillId="0" borderId="0" xfId="0" applyNumberFormat="1" applyFont="1" applyProtection="1">
      <protection locked="0"/>
    </xf>
    <xf numFmtId="43" fontId="0" fillId="0" borderId="6" xfId="2" applyFont="1" applyBorder="1" applyProtection="1">
      <protection locked="0"/>
    </xf>
    <xf numFmtId="9" fontId="0" fillId="0" borderId="0" xfId="1" applyFont="1" applyProtection="1">
      <protection locked="0"/>
    </xf>
    <xf numFmtId="166" fontId="0" fillId="0" borderId="0" xfId="0" applyNumberForma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9" borderId="25" xfId="0" applyFill="1" applyBorder="1" applyAlignment="1" applyProtection="1">
      <alignment wrapText="1"/>
      <protection locked="0"/>
    </xf>
    <xf numFmtId="0" fontId="0" fillId="9" borderId="26" xfId="0" applyFill="1" applyBorder="1" applyProtection="1">
      <protection locked="0"/>
    </xf>
    <xf numFmtId="2" fontId="0" fillId="9" borderId="26" xfId="0" applyNumberFormat="1" applyFill="1" applyBorder="1" applyProtection="1">
      <protection locked="0"/>
    </xf>
    <xf numFmtId="0" fontId="0" fillId="0" borderId="10" xfId="0" applyBorder="1" applyProtection="1">
      <protection locked="0"/>
    </xf>
    <xf numFmtId="0" fontId="1" fillId="9" borderId="26" xfId="0" applyFont="1" applyFill="1" applyBorder="1" applyAlignment="1" applyProtection="1">
      <alignment wrapText="1"/>
      <protection locked="0"/>
    </xf>
    <xf numFmtId="9" fontId="0" fillId="0" borderId="0" xfId="0" applyNumberFormat="1"/>
    <xf numFmtId="0" fontId="1" fillId="0" borderId="0" xfId="0" applyFont="1" applyAlignment="1" applyProtection="1">
      <alignment horizontal="left"/>
      <protection locked="0"/>
    </xf>
    <xf numFmtId="9" fontId="6" fillId="4" borderId="0" xfId="1" applyFont="1" applyFill="1" applyProtection="1"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0" fillId="0" borderId="13" xfId="0" applyBorder="1"/>
    <xf numFmtId="0" fontId="0" fillId="0" borderId="14" xfId="0" applyBorder="1"/>
    <xf numFmtId="9" fontId="6" fillId="4" borderId="21" xfId="1" applyFont="1" applyFill="1" applyBorder="1" applyProtection="1">
      <protection locked="0"/>
    </xf>
    <xf numFmtId="9" fontId="6" fillId="4" borderId="20" xfId="1" applyFon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0" fillId="9" borderId="26" xfId="0" applyFill="1" applyBorder="1" applyAlignment="1" applyProtection="1">
      <alignment wrapText="1"/>
      <protection locked="0"/>
    </xf>
    <xf numFmtId="43" fontId="0" fillId="0" borderId="0" xfId="2" applyFont="1" applyAlignment="1" applyProtection="1">
      <alignment wrapText="1"/>
      <protection locked="0"/>
    </xf>
    <xf numFmtId="9" fontId="5" fillId="0" borderId="5" xfId="0" applyNumberFormat="1" applyFont="1" applyBorder="1" applyAlignment="1" applyProtection="1">
      <alignment vertical="center"/>
      <protection locked="0"/>
    </xf>
    <xf numFmtId="9" fontId="5" fillId="0" borderId="6" xfId="0" applyNumberFormat="1" applyFont="1" applyBorder="1" applyAlignment="1" applyProtection="1">
      <alignment vertical="center"/>
      <protection locked="0"/>
    </xf>
    <xf numFmtId="9" fontId="5" fillId="0" borderId="7" xfId="0" applyNumberFormat="1" applyFont="1" applyBorder="1" applyAlignment="1" applyProtection="1">
      <alignment vertical="center"/>
      <protection locked="0"/>
    </xf>
    <xf numFmtId="9" fontId="5" fillId="0" borderId="8" xfId="0" applyNumberFormat="1" applyFont="1" applyBorder="1" applyAlignment="1" applyProtection="1">
      <alignment vertical="center"/>
      <protection locked="0"/>
    </xf>
    <xf numFmtId="9" fontId="5" fillId="0" borderId="9" xfId="0" applyNumberFormat="1" applyFont="1" applyBorder="1" applyAlignment="1" applyProtection="1">
      <alignment vertical="center"/>
      <protection locked="0"/>
    </xf>
    <xf numFmtId="43" fontId="5" fillId="0" borderId="8" xfId="2" applyFont="1" applyBorder="1" applyAlignment="1" applyProtection="1">
      <alignment vertical="center"/>
      <protection locked="0"/>
    </xf>
    <xf numFmtId="43" fontId="5" fillId="0" borderId="9" xfId="2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166" fontId="0" fillId="0" borderId="0" xfId="1" applyNumberFormat="1" applyFont="1" applyProtection="1"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6" xfId="0" applyBorder="1" applyProtection="1">
      <protection locked="0"/>
    </xf>
    <xf numFmtId="0" fontId="1" fillId="0" borderId="26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indent="1"/>
      <protection locked="0"/>
    </xf>
    <xf numFmtId="9" fontId="0" fillId="2" borderId="28" xfId="0" applyNumberFormat="1" applyFill="1" applyBorder="1" applyProtection="1">
      <protection locked="0"/>
    </xf>
    <xf numFmtId="43" fontId="0" fillId="0" borderId="7" xfId="2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0" fillId="0" borderId="13" xfId="0" applyBorder="1" applyProtection="1">
      <protection locked="0"/>
    </xf>
    <xf numFmtId="166" fontId="0" fillId="0" borderId="29" xfId="0" applyNumberFormat="1" applyBorder="1" applyAlignment="1" applyProtection="1">
      <alignment wrapText="1"/>
      <protection locked="0"/>
    </xf>
    <xf numFmtId="9" fontId="0" fillId="0" borderId="29" xfId="1" applyFont="1" applyBorder="1" applyAlignment="1" applyProtection="1">
      <alignment wrapText="1"/>
      <protection locked="0"/>
    </xf>
    <xf numFmtId="43" fontId="0" fillId="0" borderId="0" xfId="0" applyNumberForma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66" fontId="1" fillId="0" borderId="0" xfId="1" applyNumberFormat="1" applyFont="1" applyProtection="1">
      <protection locked="0"/>
    </xf>
    <xf numFmtId="9" fontId="0" fillId="0" borderId="0" xfId="1" applyFont="1"/>
    <xf numFmtId="9" fontId="1" fillId="2" borderId="0" xfId="1" applyNumberFormat="1" applyFont="1" applyFill="1" applyProtection="1">
      <protection locked="0"/>
    </xf>
    <xf numFmtId="166" fontId="1" fillId="0" borderId="0" xfId="1" applyNumberFormat="1" applyFont="1" applyBorder="1" applyProtection="1">
      <protection locked="0"/>
    </xf>
    <xf numFmtId="165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wrapText="1"/>
      <protection locked="0"/>
    </xf>
    <xf numFmtId="2" fontId="0" fillId="0" borderId="0" xfId="0" applyNumberFormat="1" applyFill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3" borderId="0" xfId="0" applyFont="1" applyFill="1" applyAlignment="1" applyProtection="1">
      <alignment wrapText="1"/>
      <protection locked="0"/>
    </xf>
    <xf numFmtId="166" fontId="1" fillId="3" borderId="0" xfId="1" applyNumberFormat="1" applyFont="1" applyFill="1" applyBorder="1" applyProtection="1">
      <protection locked="0"/>
    </xf>
    <xf numFmtId="9" fontId="0" fillId="11" borderId="6" xfId="0" applyNumberFormat="1" applyFill="1" applyBorder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/>
    <xf numFmtId="9" fontId="13" fillId="8" borderId="6" xfId="0" applyNumberFormat="1" applyFont="1" applyFill="1" applyBorder="1" applyProtection="1">
      <protection locked="0"/>
    </xf>
    <xf numFmtId="43" fontId="0" fillId="11" borderId="6" xfId="2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9" fontId="14" fillId="0" borderId="0" xfId="0" applyNumberFormat="1" applyFont="1"/>
    <xf numFmtId="9" fontId="0" fillId="2" borderId="0" xfId="0" applyNumberFormat="1" applyFill="1" applyBorder="1" applyProtection="1">
      <protection locked="0"/>
    </xf>
    <xf numFmtId="9" fontId="0" fillId="2" borderId="0" xfId="0" applyNumberFormat="1" applyFill="1" applyAlignment="1" applyProtection="1">
      <alignment wrapText="1"/>
      <protection locked="0"/>
    </xf>
    <xf numFmtId="166" fontId="1" fillId="2" borderId="27" xfId="1" applyNumberFormat="1" applyFont="1" applyFill="1" applyBorder="1" applyProtection="1">
      <protection locked="0"/>
    </xf>
    <xf numFmtId="0" fontId="0" fillId="0" borderId="0" xfId="0" applyAlignment="1"/>
    <xf numFmtId="0" fontId="1" fillId="12" borderId="5" xfId="0" applyFont="1" applyFill="1" applyBorder="1" applyProtection="1">
      <protection locked="0"/>
    </xf>
    <xf numFmtId="0" fontId="1" fillId="12" borderId="8" xfId="0" applyFont="1" applyFill="1" applyBorder="1" applyProtection="1">
      <protection locked="0"/>
    </xf>
    <xf numFmtId="0" fontId="0" fillId="12" borderId="0" xfId="0" applyFill="1" applyAlignment="1" applyProtection="1">
      <alignment wrapText="1"/>
      <protection locked="0"/>
    </xf>
    <xf numFmtId="0" fontId="0" fillId="12" borderId="0" xfId="0" applyFill="1" applyProtection="1">
      <protection locked="0"/>
    </xf>
    <xf numFmtId="0" fontId="1" fillId="12" borderId="5" xfId="0" applyFont="1" applyFill="1" applyBorder="1" applyAlignment="1" applyProtection="1">
      <alignment wrapText="1"/>
      <protection locked="0"/>
    </xf>
    <xf numFmtId="0" fontId="1" fillId="12" borderId="8" xfId="0" applyFont="1" applyFill="1" applyBorder="1" applyAlignment="1" applyProtection="1">
      <alignment wrapText="1"/>
      <protection locked="0"/>
    </xf>
    <xf numFmtId="0" fontId="15" fillId="0" borderId="0" xfId="0" applyFont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wrapText="1"/>
    </xf>
    <xf numFmtId="0" fontId="17" fillId="13" borderId="0" xfId="0" applyFont="1" applyFill="1"/>
    <xf numFmtId="0" fontId="16" fillId="13" borderId="0" xfId="0" quotePrefix="1" applyFont="1" applyFill="1" applyBorder="1" applyAlignment="1">
      <alignment horizontal="left" vertical="center" wrapText="1"/>
    </xf>
    <xf numFmtId="0" fontId="17" fillId="13" borderId="0" xfId="0" applyFont="1" applyFill="1" applyBorder="1" applyAlignment="1">
      <alignment vertical="center" wrapText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9" fontId="5" fillId="0" borderId="0" xfId="0" applyNumberFormat="1" applyFont="1" applyBorder="1" applyAlignment="1" applyProtection="1">
      <alignment vertical="center"/>
      <protection locked="0"/>
    </xf>
    <xf numFmtId="43" fontId="5" fillId="0" borderId="0" xfId="2" applyFont="1" applyBorder="1" applyAlignment="1" applyProtection="1">
      <alignment vertical="center"/>
      <protection locked="0"/>
    </xf>
    <xf numFmtId="0" fontId="16" fillId="13" borderId="0" xfId="0" applyFont="1" applyFill="1" applyAlignment="1">
      <alignment vertical="center" wrapText="1"/>
    </xf>
    <xf numFmtId="9" fontId="0" fillId="0" borderId="8" xfId="0" applyNumberForma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9" fontId="0" fillId="0" borderId="5" xfId="0" applyNumberFormat="1" applyFill="1" applyBorder="1" applyAlignment="1" applyProtection="1">
      <alignment vertical="center"/>
      <protection locked="0"/>
    </xf>
    <xf numFmtId="9" fontId="0" fillId="0" borderId="10" xfId="0" applyNumberFormat="1" applyFill="1" applyBorder="1" applyAlignment="1" applyProtection="1">
      <alignment vertical="center"/>
      <protection locked="0"/>
    </xf>
    <xf numFmtId="43" fontId="0" fillId="0" borderId="5" xfId="2" applyFont="1" applyFill="1" applyBorder="1" applyAlignment="1" applyProtection="1">
      <alignment vertical="center"/>
      <protection locked="0"/>
    </xf>
    <xf numFmtId="9" fontId="0" fillId="0" borderId="5" xfId="1" applyFont="1" applyFill="1" applyBorder="1" applyAlignment="1">
      <alignment vertical="center"/>
    </xf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9" fontId="5" fillId="0" borderId="10" xfId="0" applyNumberFormat="1" applyFont="1" applyFill="1" applyBorder="1" applyAlignment="1" applyProtection="1">
      <alignment vertical="center"/>
      <protection locked="0"/>
    </xf>
    <xf numFmtId="9" fontId="0" fillId="16" borderId="8" xfId="0" applyNumberFormat="1" applyFill="1" applyBorder="1" applyAlignment="1" applyProtection="1">
      <alignment vertical="center"/>
      <protection locked="0"/>
    </xf>
    <xf numFmtId="9" fontId="0" fillId="16" borderId="9" xfId="0" applyNumberFormat="1" applyFill="1" applyBorder="1" applyAlignment="1" applyProtection="1">
      <alignment vertical="center"/>
      <protection locked="0"/>
    </xf>
    <xf numFmtId="164" fontId="0" fillId="16" borderId="8" xfId="0" applyNumberFormat="1" applyFill="1" applyBorder="1" applyAlignment="1" applyProtection="1">
      <alignment vertical="center"/>
      <protection locked="0"/>
    </xf>
    <xf numFmtId="9" fontId="0" fillId="16" borderId="10" xfId="0" applyNumberFormat="1" applyFill="1" applyBorder="1" applyAlignment="1" applyProtection="1">
      <alignment vertical="center"/>
      <protection locked="0"/>
    </xf>
    <xf numFmtId="9" fontId="0" fillId="16" borderId="12" xfId="0" applyNumberFormat="1" applyFill="1" applyBorder="1" applyAlignment="1" applyProtection="1">
      <alignment vertical="center"/>
      <protection locked="0"/>
    </xf>
    <xf numFmtId="9" fontId="0" fillId="16" borderId="6" xfId="0" applyNumberFormat="1" applyFill="1" applyBorder="1" applyAlignment="1" applyProtection="1">
      <alignment vertical="center"/>
      <protection locked="0"/>
    </xf>
    <xf numFmtId="9" fontId="0" fillId="16" borderId="7" xfId="0" applyNumberFormat="1" applyFill="1" applyBorder="1" applyAlignment="1" applyProtection="1">
      <alignment vertical="center"/>
      <protection locked="0"/>
    </xf>
    <xf numFmtId="9" fontId="0" fillId="16" borderId="11" xfId="0" applyNumberFormat="1" applyFill="1" applyBorder="1" applyAlignment="1" applyProtection="1">
      <alignment vertical="center"/>
      <protection locked="0"/>
    </xf>
    <xf numFmtId="164" fontId="0" fillId="16" borderId="6" xfId="0" applyNumberFormat="1" applyFill="1" applyBorder="1" applyAlignment="1" applyProtection="1">
      <alignment vertical="center"/>
      <protection locked="0"/>
    </xf>
    <xf numFmtId="164" fontId="0" fillId="16" borderId="7" xfId="0" applyNumberFormat="1" applyFill="1" applyBorder="1" applyAlignment="1" applyProtection="1">
      <alignment vertical="center"/>
      <protection locked="0"/>
    </xf>
    <xf numFmtId="9" fontId="5" fillId="16" borderId="11" xfId="0" applyNumberFormat="1" applyFont="1" applyFill="1" applyBorder="1" applyAlignment="1" applyProtection="1">
      <alignment vertical="center"/>
      <protection locked="0"/>
    </xf>
    <xf numFmtId="9" fontId="5" fillId="16" borderId="12" xfId="0" applyNumberFormat="1" applyFont="1" applyFill="1" applyBorder="1" applyAlignment="1" applyProtection="1">
      <alignment vertical="center"/>
      <protection locked="0"/>
    </xf>
    <xf numFmtId="9" fontId="0" fillId="10" borderId="0" xfId="0" applyNumberFormat="1" applyFill="1" applyBorder="1" applyAlignment="1" applyProtection="1">
      <alignment vertical="center"/>
      <protection locked="0"/>
    </xf>
    <xf numFmtId="9" fontId="0" fillId="10" borderId="9" xfId="0" applyNumberFormat="1" applyFill="1" applyBorder="1" applyAlignment="1" applyProtection="1">
      <alignment vertical="center"/>
      <protection locked="0"/>
    </xf>
    <xf numFmtId="9" fontId="16" fillId="5" borderId="31" xfId="0" applyNumberFormat="1" applyFont="1" applyFill="1" applyBorder="1" applyAlignment="1">
      <alignment vertical="center"/>
    </xf>
    <xf numFmtId="9" fontId="16" fillId="5" borderId="32" xfId="0" applyNumberFormat="1" applyFont="1" applyFill="1" applyBorder="1" applyAlignment="1">
      <alignment vertical="center"/>
    </xf>
    <xf numFmtId="9" fontId="16" fillId="5" borderId="33" xfId="0" applyNumberFormat="1" applyFont="1" applyFill="1" applyBorder="1" applyAlignment="1">
      <alignment vertical="center"/>
    </xf>
    <xf numFmtId="9" fontId="16" fillId="5" borderId="34" xfId="0" applyNumberFormat="1" applyFont="1" applyFill="1" applyBorder="1" applyAlignment="1">
      <alignment vertical="center"/>
    </xf>
    <xf numFmtId="9" fontId="16" fillId="5" borderId="36" xfId="0" applyNumberFormat="1" applyFont="1" applyFill="1" applyBorder="1" applyAlignment="1">
      <alignment vertical="center"/>
    </xf>
    <xf numFmtId="9" fontId="16" fillId="5" borderId="35" xfId="0" applyNumberFormat="1" applyFont="1" applyFill="1" applyBorder="1" applyAlignment="1">
      <alignment vertical="center"/>
    </xf>
    <xf numFmtId="9" fontId="16" fillId="14" borderId="36" xfId="0" applyNumberFormat="1" applyFont="1" applyFill="1" applyBorder="1" applyAlignment="1">
      <alignment vertical="center"/>
    </xf>
    <xf numFmtId="9" fontId="16" fillId="14" borderId="35" xfId="0" applyNumberFormat="1" applyFont="1" applyFill="1" applyBorder="1" applyAlignment="1">
      <alignment vertical="center"/>
    </xf>
    <xf numFmtId="1" fontId="16" fillId="5" borderId="34" xfId="0" applyNumberFormat="1" applyFont="1" applyFill="1" applyBorder="1" applyAlignment="1">
      <alignment vertical="center"/>
    </xf>
    <xf numFmtId="1" fontId="16" fillId="5" borderId="35" xfId="0" applyNumberFormat="1" applyFont="1" applyFill="1" applyBorder="1" applyAlignment="1">
      <alignment vertical="center"/>
    </xf>
    <xf numFmtId="9" fontId="16" fillId="5" borderId="37" xfId="0" applyNumberFormat="1" applyFont="1" applyFill="1" applyBorder="1" applyAlignment="1">
      <alignment vertical="center"/>
    </xf>
    <xf numFmtId="9" fontId="16" fillId="5" borderId="39" xfId="0" applyNumberFormat="1" applyFont="1" applyFill="1" applyBorder="1" applyAlignment="1">
      <alignment vertical="center"/>
    </xf>
    <xf numFmtId="9" fontId="16" fillId="5" borderId="38" xfId="0" applyNumberFormat="1" applyFont="1" applyFill="1" applyBorder="1" applyAlignment="1">
      <alignment vertical="center"/>
    </xf>
    <xf numFmtId="0" fontId="16" fillId="5" borderId="14" xfId="0" applyFont="1" applyFill="1" applyBorder="1" applyAlignment="1">
      <alignment horizontal="right" vertical="center" wrapText="1"/>
    </xf>
    <xf numFmtId="0" fontId="17" fillId="15" borderId="2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4" xfId="0" applyFont="1" applyFill="1" applyBorder="1" applyAlignment="1">
      <alignment horizontal="center" vertical="center" wrapText="1"/>
    </xf>
    <xf numFmtId="9" fontId="16" fillId="5" borderId="29" xfId="0" quotePrefix="1" applyNumberFormat="1" applyFont="1" applyFill="1" applyBorder="1" applyAlignment="1">
      <alignment horizontal="right" vertical="center" wrapText="1"/>
    </xf>
    <xf numFmtId="0" fontId="17" fillId="13" borderId="13" xfId="0" applyFont="1" applyFill="1" applyBorder="1" applyAlignment="1">
      <alignment vertical="center"/>
    </xf>
    <xf numFmtId="0" fontId="17" fillId="13" borderId="29" xfId="0" applyFont="1" applyFill="1" applyBorder="1" applyAlignment="1">
      <alignment vertical="center"/>
    </xf>
    <xf numFmtId="0" fontId="17" fillId="13" borderId="14" xfId="0" applyFont="1" applyFill="1" applyBorder="1" applyAlignment="1">
      <alignment vertical="center"/>
    </xf>
    <xf numFmtId="9" fontId="0" fillId="0" borderId="5" xfId="1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/>
      <protection locked="0"/>
    </xf>
    <xf numFmtId="9" fontId="0" fillId="0" borderId="11" xfId="0" applyNumberFormat="1" applyFill="1" applyBorder="1" applyAlignment="1" applyProtection="1">
      <alignment vertical="center"/>
      <protection locked="0"/>
    </xf>
    <xf numFmtId="9" fontId="0" fillId="0" borderId="10" xfId="1" applyFont="1" applyFill="1" applyBorder="1" applyAlignment="1" applyProtection="1">
      <alignment vertical="center"/>
      <protection locked="0"/>
    </xf>
    <xf numFmtId="9" fontId="0" fillId="10" borderId="6" xfId="1" applyFont="1" applyFill="1" applyBorder="1" applyAlignment="1">
      <alignment vertical="center"/>
    </xf>
    <xf numFmtId="9" fontId="0" fillId="10" borderId="7" xfId="1" applyFont="1" applyFill="1" applyBorder="1" applyAlignment="1">
      <alignment vertical="center"/>
    </xf>
    <xf numFmtId="164" fontId="0" fillId="10" borderId="6" xfId="0" applyNumberFormat="1" applyFill="1" applyBorder="1" applyAlignment="1" applyProtection="1">
      <alignment vertical="center"/>
      <protection locked="0"/>
    </xf>
    <xf numFmtId="164" fontId="0" fillId="10" borderId="7" xfId="0" applyNumberFormat="1" applyFill="1" applyBorder="1" applyAlignment="1" applyProtection="1">
      <alignment vertical="center"/>
      <protection locked="0"/>
    </xf>
    <xf numFmtId="9" fontId="5" fillId="10" borderId="11" xfId="0" applyNumberFormat="1" applyFont="1" applyFill="1" applyBorder="1" applyAlignment="1" applyProtection="1">
      <alignment vertical="center"/>
      <protection locked="0"/>
    </xf>
    <xf numFmtId="9" fontId="5" fillId="10" borderId="12" xfId="0" applyNumberFormat="1" applyFont="1" applyFill="1" applyBorder="1" applyAlignment="1" applyProtection="1">
      <alignment vertical="center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9" fontId="0" fillId="10" borderId="11" xfId="1" applyFont="1" applyFill="1" applyBorder="1" applyAlignment="1" applyProtection="1">
      <alignment vertical="center"/>
      <protection locked="0"/>
    </xf>
    <xf numFmtId="9" fontId="0" fillId="10" borderId="12" xfId="1" applyFont="1" applyFill="1" applyBorder="1" applyAlignment="1" applyProtection="1">
      <alignment vertical="center"/>
      <protection locked="0"/>
    </xf>
    <xf numFmtId="164" fontId="0" fillId="10" borderId="11" xfId="0" applyNumberFormat="1" applyFill="1" applyBorder="1" applyAlignment="1" applyProtection="1">
      <alignment vertical="center"/>
      <protection locked="0"/>
    </xf>
    <xf numFmtId="164" fontId="0" fillId="10" borderId="12" xfId="0" applyNumberFormat="1" applyFill="1" applyBorder="1" applyAlignment="1" applyProtection="1">
      <alignment vertical="center"/>
      <protection locked="0"/>
    </xf>
    <xf numFmtId="164" fontId="9" fillId="10" borderId="2" xfId="0" applyNumberFormat="1" applyFont="1" applyFill="1" applyBorder="1" applyAlignment="1" applyProtection="1">
      <alignment vertical="center"/>
      <protection locked="0"/>
    </xf>
    <xf numFmtId="164" fontId="9" fillId="10" borderId="4" xfId="0" applyNumberFormat="1" applyFont="1" applyFill="1" applyBorder="1" applyAlignment="1" applyProtection="1">
      <alignment vertical="center"/>
      <protection locked="0"/>
    </xf>
    <xf numFmtId="164" fontId="9" fillId="10" borderId="10" xfId="0" applyNumberFormat="1" applyFont="1" applyFill="1" applyBorder="1" applyAlignment="1" applyProtection="1">
      <alignment vertical="center"/>
      <protection locked="0"/>
    </xf>
    <xf numFmtId="164" fontId="9" fillId="10" borderId="11" xfId="0" applyNumberFormat="1" applyFont="1" applyFill="1" applyBorder="1" applyAlignment="1" applyProtection="1">
      <alignment vertical="center"/>
      <protection locked="0"/>
    </xf>
    <xf numFmtId="164" fontId="9" fillId="10" borderId="12" xfId="0" applyNumberFormat="1" applyFont="1" applyFill="1" applyBorder="1" applyAlignment="1" applyProtection="1">
      <alignment vertical="center"/>
      <protection locked="0"/>
    </xf>
    <xf numFmtId="164" fontId="9" fillId="10" borderId="3" xfId="0" applyNumberFormat="1" applyFont="1" applyFill="1" applyBorder="1" applyAlignment="1" applyProtection="1">
      <alignment vertical="center"/>
      <protection locked="0"/>
    </xf>
    <xf numFmtId="0" fontId="0" fillId="0" borderId="29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Protection="1">
      <protection locked="0"/>
    </xf>
    <xf numFmtId="9" fontId="0" fillId="0" borderId="10" xfId="0" applyNumberFormat="1" applyBorder="1" applyAlignment="1" applyProtection="1">
      <alignment wrapText="1"/>
      <protection locked="0"/>
    </xf>
    <xf numFmtId="9" fontId="13" fillId="8" borderId="7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6" fontId="13" fillId="8" borderId="0" xfId="1" applyNumberFormat="1" applyFont="1" applyFill="1" applyBorder="1" applyProtection="1">
      <protection locked="0"/>
    </xf>
    <xf numFmtId="166" fontId="13" fillId="8" borderId="9" xfId="1" applyNumberFormat="1" applyFont="1" applyFill="1" applyBorder="1" applyProtection="1">
      <protection locked="0"/>
    </xf>
    <xf numFmtId="9" fontId="0" fillId="11" borderId="0" xfId="1" applyFont="1" applyFill="1" applyBorder="1" applyProtection="1">
      <protection locked="0"/>
    </xf>
    <xf numFmtId="9" fontId="13" fillId="8" borderId="0" xfId="1" applyFont="1" applyFill="1" applyBorder="1" applyProtection="1">
      <protection locked="0"/>
    </xf>
    <xf numFmtId="9" fontId="13" fillId="8" borderId="9" xfId="1" applyFont="1" applyFill="1" applyBorder="1" applyProtection="1">
      <protection locked="0"/>
    </xf>
    <xf numFmtId="0" fontId="0" fillId="12" borderId="8" xfId="0" applyFill="1" applyBorder="1" applyAlignment="1" applyProtection="1">
      <alignment wrapText="1"/>
      <protection locked="0"/>
    </xf>
    <xf numFmtId="2" fontId="0" fillId="0" borderId="0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Border="1" applyProtection="1">
      <protection locked="0"/>
    </xf>
    <xf numFmtId="2" fontId="0" fillId="11" borderId="0" xfId="0" applyNumberFormat="1" applyFill="1" applyBorder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1" fillId="12" borderId="10" xfId="0" applyFont="1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11" borderId="11" xfId="0" applyNumberFormat="1" applyFill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9" fontId="0" fillId="11" borderId="5" xfId="0" applyNumberFormat="1" applyFill="1" applyBorder="1" applyProtection="1">
      <protection locked="0"/>
    </xf>
    <xf numFmtId="9" fontId="0" fillId="11" borderId="7" xfId="0" applyNumberFormat="1" applyFill="1" applyBorder="1" applyProtection="1">
      <protection locked="0"/>
    </xf>
    <xf numFmtId="9" fontId="0" fillId="11" borderId="8" xfId="1" applyFont="1" applyFill="1" applyBorder="1" applyProtection="1">
      <protection locked="0"/>
    </xf>
    <xf numFmtId="9" fontId="0" fillId="11" borderId="9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43" fontId="0" fillId="11" borderId="5" xfId="2" applyFont="1" applyFill="1" applyBorder="1" applyProtection="1">
      <protection locked="0"/>
    </xf>
    <xf numFmtId="2" fontId="0" fillId="11" borderId="8" xfId="0" applyNumberFormat="1" applyFill="1" applyBorder="1" applyProtection="1">
      <protection locked="0"/>
    </xf>
    <xf numFmtId="2" fontId="0" fillId="11" borderId="10" xfId="0" applyNumberFormat="1" applyFill="1" applyBorder="1" applyProtection="1">
      <protection locked="0"/>
    </xf>
    <xf numFmtId="43" fontId="5" fillId="0" borderId="10" xfId="2" applyFont="1" applyBorder="1" applyAlignment="1" applyProtection="1">
      <alignment vertical="center"/>
      <protection locked="0"/>
    </xf>
    <xf numFmtId="43" fontId="5" fillId="0" borderId="11" xfId="2" applyFont="1" applyBorder="1" applyAlignment="1" applyProtection="1">
      <alignment vertical="center"/>
      <protection locked="0"/>
    </xf>
    <xf numFmtId="43" fontId="5" fillId="0" borderId="12" xfId="2" applyFont="1" applyBorder="1" applyAlignment="1" applyProtection="1">
      <alignment vertical="center"/>
      <protection locked="0"/>
    </xf>
    <xf numFmtId="43" fontId="0" fillId="11" borderId="0" xfId="2" applyFont="1" applyFill="1" applyBorder="1" applyProtection="1">
      <protection locked="0"/>
    </xf>
    <xf numFmtId="1" fontId="16" fillId="5" borderId="36" xfId="0" applyNumberFormat="1" applyFont="1" applyFill="1" applyBorder="1" applyAlignment="1">
      <alignment vertical="center"/>
    </xf>
    <xf numFmtId="1" fontId="6" fillId="4" borderId="0" xfId="1" applyNumberFormat="1" applyFont="1" applyFill="1" applyProtection="1">
      <protection locked="0"/>
    </xf>
    <xf numFmtId="1" fontId="6" fillId="4" borderId="21" xfId="1" applyNumberFormat="1" applyFont="1" applyFill="1" applyBorder="1" applyProtection="1">
      <protection locked="0"/>
    </xf>
    <xf numFmtId="1" fontId="6" fillId="4" borderId="20" xfId="1" applyNumberFormat="1" applyFont="1" applyFill="1" applyBorder="1" applyProtection="1">
      <protection locked="0"/>
    </xf>
    <xf numFmtId="166" fontId="0" fillId="11" borderId="0" xfId="1" applyNumberFormat="1" applyFont="1" applyFill="1" applyBorder="1" applyProtection="1">
      <protection locked="0"/>
    </xf>
    <xf numFmtId="0" fontId="16" fillId="13" borderId="8" xfId="0" applyFont="1" applyFill="1" applyBorder="1" applyAlignment="1">
      <alignment vertical="center" wrapText="1"/>
    </xf>
    <xf numFmtId="0" fontId="16" fillId="13" borderId="0" xfId="0" applyFont="1" applyFill="1" applyBorder="1" applyAlignment="1">
      <alignment vertical="center" wrapText="1"/>
    </xf>
    <xf numFmtId="0" fontId="16" fillId="13" borderId="9" xfId="0" applyFont="1" applyFill="1" applyBorder="1" applyAlignment="1">
      <alignment vertical="center" wrapText="1"/>
    </xf>
    <xf numFmtId="0" fontId="16" fillId="15" borderId="1" xfId="0" quotePrefix="1" applyFont="1" applyFill="1" applyBorder="1" applyAlignment="1">
      <alignment horizontal="left" vertical="center" wrapText="1"/>
    </xf>
    <xf numFmtId="0" fontId="16" fillId="13" borderId="9" xfId="0" quotePrefix="1" applyFont="1" applyFill="1" applyBorder="1" applyAlignment="1">
      <alignment horizontal="left" vertical="center" wrapText="1"/>
    </xf>
    <xf numFmtId="0" fontId="17" fillId="13" borderId="11" xfId="0" applyFont="1" applyFill="1" applyBorder="1" applyAlignment="1">
      <alignment vertical="center" wrapText="1"/>
    </xf>
    <xf numFmtId="0" fontId="17" fillId="13" borderId="12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9" fillId="13" borderId="0" xfId="0" applyFont="1" applyFill="1"/>
    <xf numFmtId="0" fontId="20" fillId="13" borderId="0" xfId="0" applyFont="1" applyFill="1"/>
    <xf numFmtId="0" fontId="23" fillId="13" borderId="0" xfId="0" applyFont="1" applyFill="1" applyAlignment="1"/>
    <xf numFmtId="0" fontId="20" fillId="15" borderId="2" xfId="0" applyFont="1" applyFill="1" applyBorder="1" applyAlignment="1">
      <alignment horizontal="center" vertical="center" wrapText="1"/>
    </xf>
    <xf numFmtId="0" fontId="20" fillId="15" borderId="3" xfId="0" applyFont="1" applyFill="1" applyBorder="1" applyAlignment="1">
      <alignment horizontal="center" vertical="center" wrapText="1"/>
    </xf>
    <xf numFmtId="0" fontId="20" fillId="15" borderId="4" xfId="0" applyFont="1" applyFill="1" applyBorder="1" applyAlignment="1">
      <alignment horizontal="center" vertical="center" wrapText="1"/>
    </xf>
    <xf numFmtId="9" fontId="21" fillId="5" borderId="31" xfId="0" applyNumberFormat="1" applyFont="1" applyFill="1" applyBorder="1" applyAlignment="1" applyProtection="1">
      <alignment vertical="center"/>
      <protection locked="0"/>
    </xf>
    <xf numFmtId="9" fontId="21" fillId="5" borderId="32" xfId="0" applyNumberFormat="1" applyFont="1" applyFill="1" applyBorder="1" applyAlignment="1" applyProtection="1">
      <alignment vertical="center"/>
      <protection locked="0"/>
    </xf>
    <xf numFmtId="9" fontId="21" fillId="5" borderId="33" xfId="0" applyNumberFormat="1" applyFont="1" applyFill="1" applyBorder="1" applyAlignment="1" applyProtection="1">
      <alignment vertical="center"/>
      <protection locked="0"/>
    </xf>
    <xf numFmtId="9" fontId="21" fillId="5" borderId="34" xfId="0" applyNumberFormat="1" applyFont="1" applyFill="1" applyBorder="1" applyAlignment="1" applyProtection="1">
      <alignment vertical="center"/>
      <protection locked="0"/>
    </xf>
    <xf numFmtId="0" fontId="27" fillId="13" borderId="35" xfId="0" quotePrefix="1" applyFont="1" applyFill="1" applyBorder="1" applyAlignment="1">
      <alignment horizontal="left" vertical="center" wrapText="1"/>
    </xf>
    <xf numFmtId="0" fontId="20" fillId="13" borderId="9" xfId="0" applyFont="1" applyFill="1" applyBorder="1" applyProtection="1">
      <protection locked="0"/>
    </xf>
    <xf numFmtId="1" fontId="21" fillId="5" borderId="34" xfId="0" applyNumberFormat="1" applyFont="1" applyFill="1" applyBorder="1" applyAlignment="1" applyProtection="1">
      <alignment vertical="center"/>
      <protection locked="0"/>
    </xf>
    <xf numFmtId="1" fontId="21" fillId="5" borderId="36" xfId="0" applyNumberFormat="1" applyFont="1" applyFill="1" applyBorder="1" applyAlignment="1" applyProtection="1">
      <alignment vertical="center"/>
      <protection locked="0"/>
    </xf>
    <xf numFmtId="1" fontId="21" fillId="5" borderId="35" xfId="0" applyNumberFormat="1" applyFont="1" applyFill="1" applyBorder="1" applyAlignment="1" applyProtection="1">
      <alignment vertical="center"/>
      <protection locked="0"/>
    </xf>
    <xf numFmtId="9" fontId="21" fillId="5" borderId="37" xfId="0" applyNumberFormat="1" applyFont="1" applyFill="1" applyBorder="1" applyAlignment="1" applyProtection="1">
      <alignment vertical="center"/>
      <protection locked="0"/>
    </xf>
    <xf numFmtId="9" fontId="21" fillId="5" borderId="39" xfId="0" applyNumberFormat="1" applyFont="1" applyFill="1" applyBorder="1" applyAlignment="1" applyProtection="1">
      <alignment vertical="center"/>
      <protection locked="0"/>
    </xf>
    <xf numFmtId="9" fontId="21" fillId="5" borderId="38" xfId="0" applyNumberFormat="1" applyFont="1" applyFill="1" applyBorder="1" applyAlignment="1" applyProtection="1">
      <alignment vertical="center"/>
      <protection locked="0"/>
    </xf>
    <xf numFmtId="0" fontId="21" fillId="13" borderId="0" xfId="0" applyFont="1" applyFill="1" applyAlignment="1">
      <alignment vertical="center" wrapText="1"/>
    </xf>
    <xf numFmtId="0" fontId="21" fillId="15" borderId="4" xfId="0" quotePrefix="1" applyFont="1" applyFill="1" applyBorder="1" applyAlignment="1">
      <alignment horizontal="left" vertical="center" wrapText="1"/>
    </xf>
    <xf numFmtId="0" fontId="21" fillId="13" borderId="0" xfId="0" quotePrefix="1" applyFont="1" applyFill="1" applyBorder="1" applyAlignment="1">
      <alignment horizontal="left" vertical="center" wrapText="1"/>
    </xf>
    <xf numFmtId="9" fontId="21" fillId="5" borderId="29" xfId="0" quotePrefix="1" applyNumberFormat="1" applyFont="1" applyFill="1" applyBorder="1" applyAlignment="1" applyProtection="1">
      <alignment horizontal="right" vertical="center" wrapText="1"/>
      <protection locked="0"/>
    </xf>
    <xf numFmtId="0" fontId="21" fillId="5" borderId="14" xfId="0" applyFont="1" applyFill="1" applyBorder="1" applyAlignment="1" applyProtection="1">
      <alignment horizontal="right" vertical="center" wrapText="1"/>
      <protection locked="0"/>
    </xf>
    <xf numFmtId="0" fontId="20" fillId="13" borderId="0" xfId="0" applyFont="1" applyFill="1" applyBorder="1" applyAlignment="1">
      <alignment vertical="center" wrapText="1"/>
    </xf>
    <xf numFmtId="0" fontId="0" fillId="10" borderId="13" xfId="0" applyFill="1" applyBorder="1" applyAlignment="1" applyProtection="1">
      <alignment wrapText="1"/>
      <protection locked="0"/>
    </xf>
    <xf numFmtId="9" fontId="0" fillId="10" borderId="6" xfId="0" applyNumberFormat="1" applyFill="1" applyBorder="1" applyProtection="1">
      <protection locked="0"/>
    </xf>
    <xf numFmtId="9" fontId="0" fillId="10" borderId="7" xfId="0" applyNumberFormat="1" applyFill="1" applyBorder="1" applyProtection="1">
      <protection locked="0"/>
    </xf>
    <xf numFmtId="0" fontId="0" fillId="10" borderId="29" xfId="0" applyFill="1" applyBorder="1" applyAlignment="1" applyProtection="1">
      <alignment wrapText="1"/>
      <protection locked="0"/>
    </xf>
    <xf numFmtId="9" fontId="0" fillId="10" borderId="0" xfId="2" applyNumberFormat="1" applyFont="1" applyFill="1" applyBorder="1" applyProtection="1">
      <protection locked="0"/>
    </xf>
    <xf numFmtId="9" fontId="0" fillId="10" borderId="0" xfId="0" applyNumberFormat="1" applyFill="1" applyBorder="1" applyProtection="1">
      <protection locked="0"/>
    </xf>
    <xf numFmtId="9" fontId="0" fillId="10" borderId="9" xfId="0" applyNumberFormat="1" applyFill="1" applyBorder="1" applyProtection="1">
      <protection locked="0"/>
    </xf>
    <xf numFmtId="0" fontId="12" fillId="10" borderId="29" xfId="0" applyFont="1" applyFill="1" applyBorder="1" applyAlignment="1">
      <alignment horizontal="left" vertical="center" wrapText="1" indent="5"/>
    </xf>
    <xf numFmtId="9" fontId="0" fillId="10" borderId="0" xfId="0" applyNumberFormat="1" applyFill="1" applyBorder="1" applyAlignment="1" applyProtection="1">
      <alignment wrapText="1"/>
      <protection locked="0"/>
    </xf>
    <xf numFmtId="43" fontId="0" fillId="10" borderId="0" xfId="2" applyFont="1" applyFill="1" applyBorder="1" applyProtection="1">
      <protection locked="0"/>
    </xf>
    <xf numFmtId="43" fontId="0" fillId="10" borderId="9" xfId="2" applyFont="1" applyFill="1" applyBorder="1" applyProtection="1">
      <protection locked="0"/>
    </xf>
    <xf numFmtId="0" fontId="0" fillId="10" borderId="14" xfId="0" applyFill="1" applyBorder="1" applyAlignment="1" applyProtection="1">
      <alignment wrapText="1"/>
      <protection locked="0"/>
    </xf>
    <xf numFmtId="9" fontId="0" fillId="10" borderId="11" xfId="0" applyNumberFormat="1" applyFill="1" applyBorder="1" applyProtection="1">
      <protection locked="0"/>
    </xf>
    <xf numFmtId="9" fontId="0" fillId="10" borderId="12" xfId="0" applyNumberFormat="1" applyFill="1" applyBorder="1" applyProtection="1">
      <protection locked="0"/>
    </xf>
    <xf numFmtId="0" fontId="0" fillId="10" borderId="5" xfId="0" applyFill="1" applyBorder="1" applyAlignment="1" applyProtection="1">
      <alignment wrapText="1"/>
      <protection locked="0"/>
    </xf>
    <xf numFmtId="0" fontId="0" fillId="10" borderId="8" xfId="0" applyFill="1" applyBorder="1" applyAlignment="1" applyProtection="1">
      <alignment wrapText="1"/>
      <protection locked="0"/>
    </xf>
    <xf numFmtId="164" fontId="0" fillId="10" borderId="0" xfId="0" applyNumberFormat="1" applyFill="1" applyBorder="1" applyProtection="1">
      <protection locked="0"/>
    </xf>
    <xf numFmtId="164" fontId="0" fillId="10" borderId="9" xfId="0" applyNumberFormat="1" applyFill="1" applyBorder="1" applyProtection="1">
      <protection locked="0"/>
    </xf>
    <xf numFmtId="0" fontId="0" fillId="10" borderId="2" xfId="0" applyFill="1" applyBorder="1" applyAlignment="1" applyProtection="1">
      <alignment wrapText="1"/>
      <protection locked="0"/>
    </xf>
    <xf numFmtId="164" fontId="0" fillId="10" borderId="3" xfId="0" applyNumberFormat="1" applyFill="1" applyBorder="1" applyProtection="1">
      <protection locked="0"/>
    </xf>
    <xf numFmtId="164" fontId="0" fillId="10" borderId="4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43" fontId="0" fillId="11" borderId="8" xfId="2" applyFont="1" applyFill="1" applyBorder="1" applyProtection="1">
      <protection locked="0"/>
    </xf>
    <xf numFmtId="43" fontId="0" fillId="0" borderId="0" xfId="2" applyFont="1" applyBorder="1" applyProtection="1">
      <protection locked="0"/>
    </xf>
    <xf numFmtId="43" fontId="0" fillId="0" borderId="9" xfId="2" applyFont="1" applyBorder="1" applyProtection="1">
      <protection locked="0"/>
    </xf>
    <xf numFmtId="9" fontId="0" fillId="14" borderId="5" xfId="0" applyNumberFormat="1" applyFill="1" applyBorder="1" applyAlignment="1" applyProtection="1">
      <alignment wrapText="1"/>
      <protection locked="0"/>
    </xf>
    <xf numFmtId="9" fontId="0" fillId="14" borderId="6" xfId="0" applyNumberFormat="1" applyFill="1" applyBorder="1" applyAlignment="1" applyProtection="1">
      <alignment wrapText="1"/>
      <protection locked="0"/>
    </xf>
    <xf numFmtId="164" fontId="0" fillId="14" borderId="6" xfId="0" applyNumberFormat="1" applyFill="1" applyBorder="1" applyProtection="1">
      <protection locked="0"/>
    </xf>
    <xf numFmtId="164" fontId="0" fillId="14" borderId="7" xfId="0" applyNumberFormat="1" applyFill="1" applyBorder="1" applyProtection="1">
      <protection locked="0"/>
    </xf>
    <xf numFmtId="43" fontId="0" fillId="14" borderId="7" xfId="2" applyFont="1" applyFill="1" applyBorder="1" applyProtection="1">
      <protection locked="0"/>
    </xf>
    <xf numFmtId="167" fontId="0" fillId="14" borderId="8" xfId="2" applyNumberFormat="1" applyFont="1" applyFill="1" applyBorder="1" applyAlignment="1" applyProtection="1">
      <alignment wrapText="1"/>
      <protection locked="0"/>
    </xf>
    <xf numFmtId="167" fontId="0" fillId="14" borderId="0" xfId="2" applyNumberFormat="1" applyFont="1" applyFill="1" applyBorder="1" applyAlignment="1" applyProtection="1">
      <alignment wrapText="1"/>
      <protection locked="0"/>
    </xf>
    <xf numFmtId="164" fontId="0" fillId="14" borderId="0" xfId="0" applyNumberFormat="1" applyFill="1" applyBorder="1" applyProtection="1">
      <protection locked="0"/>
    </xf>
    <xf numFmtId="164" fontId="0" fillId="14" borderId="9" xfId="0" applyNumberFormat="1" applyFill="1" applyBorder="1" applyProtection="1">
      <protection locked="0"/>
    </xf>
    <xf numFmtId="43" fontId="0" fillId="14" borderId="9" xfId="2" applyFont="1" applyFill="1" applyBorder="1" applyProtection="1">
      <protection locked="0"/>
    </xf>
    <xf numFmtId="9" fontId="0" fillId="14" borderId="8" xfId="0" applyNumberFormat="1" applyFill="1" applyBorder="1" applyAlignment="1" applyProtection="1">
      <alignment wrapText="1"/>
      <protection locked="0"/>
    </xf>
    <xf numFmtId="9" fontId="0" fillId="14" borderId="0" xfId="0" applyNumberFormat="1" applyFill="1" applyBorder="1" applyAlignment="1" applyProtection="1">
      <alignment wrapText="1"/>
      <protection locked="0"/>
    </xf>
    <xf numFmtId="164" fontId="0" fillId="14" borderId="10" xfId="0" applyNumberFormat="1" applyFill="1" applyBorder="1" applyAlignment="1" applyProtection="1">
      <alignment wrapText="1"/>
      <protection locked="0"/>
    </xf>
    <xf numFmtId="164" fontId="0" fillId="14" borderId="11" xfId="0" applyNumberFormat="1" applyFill="1" applyBorder="1" applyAlignment="1" applyProtection="1">
      <alignment wrapText="1"/>
      <protection locked="0"/>
    </xf>
    <xf numFmtId="164" fontId="0" fillId="14" borderId="11" xfId="0" applyNumberFormat="1" applyFill="1" applyBorder="1" applyProtection="1">
      <protection locked="0"/>
    </xf>
    <xf numFmtId="164" fontId="0" fillId="14" borderId="12" xfId="0" applyNumberFormat="1" applyFill="1" applyBorder="1" applyProtection="1">
      <protection locked="0"/>
    </xf>
    <xf numFmtId="43" fontId="0" fillId="14" borderId="12" xfId="2" applyFont="1" applyFill="1" applyBorder="1" applyProtection="1">
      <protection locked="0"/>
    </xf>
    <xf numFmtId="9" fontId="6" fillId="4" borderId="0" xfId="1" applyFont="1" applyFill="1" applyBorder="1" applyProtection="1">
      <protection locked="0"/>
    </xf>
    <xf numFmtId="9" fontId="6" fillId="4" borderId="5" xfId="1" applyFont="1" applyFill="1" applyBorder="1" applyProtection="1">
      <protection locked="0"/>
    </xf>
    <xf numFmtId="9" fontId="6" fillId="4" borderId="6" xfId="1" applyFont="1" applyFill="1" applyBorder="1" applyProtection="1">
      <protection locked="0"/>
    </xf>
    <xf numFmtId="9" fontId="6" fillId="4" borderId="7" xfId="1" applyFont="1" applyFill="1" applyBorder="1" applyProtection="1">
      <protection locked="0"/>
    </xf>
    <xf numFmtId="9" fontId="6" fillId="4" borderId="8" xfId="1" applyFont="1" applyFill="1" applyBorder="1" applyProtection="1">
      <protection locked="0"/>
    </xf>
    <xf numFmtId="9" fontId="6" fillId="4" borderId="9" xfId="1" applyFont="1" applyFill="1" applyBorder="1" applyProtection="1">
      <protection locked="0"/>
    </xf>
    <xf numFmtId="43" fontId="6" fillId="4" borderId="8" xfId="2" applyFont="1" applyFill="1" applyBorder="1" applyProtection="1">
      <protection locked="0"/>
    </xf>
    <xf numFmtId="43" fontId="6" fillId="4" borderId="0" xfId="2" applyFont="1" applyFill="1" applyBorder="1" applyProtection="1">
      <protection locked="0"/>
    </xf>
    <xf numFmtId="43" fontId="6" fillId="4" borderId="9" xfId="2" applyFont="1" applyFill="1" applyBorder="1" applyProtection="1">
      <protection locked="0"/>
    </xf>
    <xf numFmtId="43" fontId="6" fillId="4" borderId="0" xfId="2" applyFont="1" applyFill="1" applyProtection="1">
      <protection locked="0"/>
    </xf>
    <xf numFmtId="43" fontId="6" fillId="4" borderId="21" xfId="2" applyFont="1" applyFill="1" applyBorder="1" applyProtection="1">
      <protection locked="0"/>
    </xf>
    <xf numFmtId="43" fontId="6" fillId="4" borderId="20" xfId="2" applyFont="1" applyFill="1" applyBorder="1" applyProtection="1">
      <protection locked="0"/>
    </xf>
    <xf numFmtId="43" fontId="6" fillId="4" borderId="10" xfId="2" applyFont="1" applyFill="1" applyBorder="1" applyProtection="1">
      <protection locked="0"/>
    </xf>
    <xf numFmtId="43" fontId="6" fillId="4" borderId="11" xfId="2" applyFont="1" applyFill="1" applyBorder="1" applyProtection="1">
      <protection locked="0"/>
    </xf>
    <xf numFmtId="43" fontId="6" fillId="4" borderId="12" xfId="2" applyFont="1" applyFill="1" applyBorder="1" applyProtection="1">
      <protection locked="0"/>
    </xf>
    <xf numFmtId="9" fontId="0" fillId="17" borderId="11" xfId="0" applyNumberFormat="1" applyFill="1" applyBorder="1" applyProtection="1">
      <protection locked="0"/>
    </xf>
    <xf numFmtId="9" fontId="0" fillId="17" borderId="12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12" fillId="0" borderId="30" xfId="0" applyFont="1" applyFill="1" applyBorder="1" applyAlignment="1">
      <alignment horizontal="left" vertical="center" wrapText="1" indent="5"/>
    </xf>
    <xf numFmtId="0" fontId="0" fillId="0" borderId="9" xfId="0" applyFill="1" applyBorder="1" applyAlignment="1">
      <alignment vertical="center" wrapText="1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0" fillId="0" borderId="7" xfId="0" applyFill="1" applyBorder="1" applyAlignment="1">
      <alignment vertical="center" wrapText="1"/>
    </xf>
    <xf numFmtId="0" fontId="0" fillId="5" borderId="13" xfId="0" applyFill="1" applyBorder="1"/>
    <xf numFmtId="0" fontId="0" fillId="5" borderId="14" xfId="0" applyFill="1" applyBorder="1"/>
    <xf numFmtId="0" fontId="18" fillId="5" borderId="13" xfId="0" applyFont="1" applyFill="1" applyBorder="1"/>
    <xf numFmtId="0" fontId="18" fillId="5" borderId="29" xfId="0" applyFont="1" applyFill="1" applyBorder="1"/>
    <xf numFmtId="0" fontId="18" fillId="5" borderId="14" xfId="0" applyFont="1" applyFill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2" xfId="0" applyBorder="1"/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9" fontId="0" fillId="0" borderId="6" xfId="0" applyNumberFormat="1" applyBorder="1" applyAlignment="1" applyProtection="1">
      <alignment vertical="center"/>
      <protection locked="0"/>
    </xf>
    <xf numFmtId="9" fontId="0" fillId="0" borderId="7" xfId="0" applyNumberFormat="1" applyBorder="1" applyAlignment="1" applyProtection="1">
      <alignment vertical="center"/>
      <protection locked="0"/>
    </xf>
    <xf numFmtId="0" fontId="0" fillId="0" borderId="0" xfId="0" applyBorder="1"/>
    <xf numFmtId="0" fontId="0" fillId="0" borderId="9" xfId="0" applyBorder="1"/>
    <xf numFmtId="0" fontId="17" fillId="13" borderId="0" xfId="0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9" fillId="0" borderId="8" xfId="0" applyFont="1" applyBorder="1" applyAlignment="1">
      <alignment wrapText="1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1" fontId="6" fillId="4" borderId="0" xfId="1" applyNumberFormat="1" applyFont="1" applyFill="1" applyBorder="1" applyProtection="1"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9" fontId="6" fillId="2" borderId="30" xfId="1" applyFont="1" applyFill="1" applyBorder="1" applyProtection="1">
      <protection locked="0"/>
    </xf>
    <xf numFmtId="1" fontId="6" fillId="2" borderId="30" xfId="1" applyNumberFormat="1" applyFont="1" applyFill="1" applyBorder="1" applyProtection="1">
      <protection locked="0"/>
    </xf>
    <xf numFmtId="9" fontId="6" fillId="2" borderId="28" xfId="1" applyFont="1" applyFill="1" applyBorder="1" applyProtection="1">
      <protection locked="0"/>
    </xf>
    <xf numFmtId="0" fontId="26" fillId="13" borderId="34" xfId="0" applyFont="1" applyFill="1" applyBorder="1" applyAlignment="1">
      <alignment horizontal="right" vertical="center" wrapText="1"/>
    </xf>
    <xf numFmtId="9" fontId="21" fillId="5" borderId="36" xfId="0" applyNumberFormat="1" applyFont="1" applyFill="1" applyBorder="1" applyAlignment="1" applyProtection="1">
      <alignment vertical="center"/>
      <protection locked="0"/>
    </xf>
    <xf numFmtId="9" fontId="21" fillId="5" borderId="35" xfId="0" applyNumberFormat="1" applyFont="1" applyFill="1" applyBorder="1" applyAlignment="1" applyProtection="1">
      <alignment vertical="center"/>
      <protection locked="0"/>
    </xf>
    <xf numFmtId="0" fontId="20" fillId="13" borderId="0" xfId="0" applyFont="1" applyFill="1" applyProtection="1">
      <protection locked="0"/>
    </xf>
    <xf numFmtId="164" fontId="1" fillId="2" borderId="0" xfId="1" applyNumberFormat="1" applyFont="1" applyFill="1" applyProtection="1">
      <protection locked="0"/>
    </xf>
    <xf numFmtId="43" fontId="0" fillId="0" borderId="0" xfId="2" applyFont="1" applyProtection="1">
      <protection locked="0"/>
    </xf>
    <xf numFmtId="164" fontId="0" fillId="16" borderId="0" xfId="0" applyNumberFormat="1" applyFill="1" applyAlignment="1" applyProtection="1">
      <alignment vertical="center"/>
      <protection locked="0"/>
    </xf>
    <xf numFmtId="9" fontId="1" fillId="0" borderId="0" xfId="2" applyNumberFormat="1" applyFont="1" applyProtection="1">
      <protection locked="0"/>
    </xf>
    <xf numFmtId="9" fontId="0" fillId="2" borderId="0" xfId="1" applyNumberFormat="1" applyFont="1" applyFill="1"/>
    <xf numFmtId="0" fontId="28" fillId="15" borderId="2" xfId="0" applyFont="1" applyFill="1" applyBorder="1" applyAlignment="1">
      <alignment vertical="center" wrapText="1"/>
    </xf>
    <xf numFmtId="0" fontId="18" fillId="15" borderId="3" xfId="0" applyFont="1" applyFill="1" applyBorder="1" applyAlignment="1">
      <alignment vertical="center" wrapText="1"/>
    </xf>
    <xf numFmtId="0" fontId="18" fillId="15" borderId="4" xfId="0" applyFont="1" applyFill="1" applyBorder="1" applyAlignment="1">
      <alignment vertical="center" wrapText="1"/>
    </xf>
    <xf numFmtId="0" fontId="21" fillId="13" borderId="8" xfId="0" quotePrefix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13" borderId="10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0" fillId="15" borderId="2" xfId="0" quotePrefix="1" applyFont="1" applyFill="1" applyBorder="1" applyAlignment="1">
      <alignment horizontal="left" vertical="center" wrapText="1"/>
    </xf>
    <xf numFmtId="0" fontId="22" fillId="15" borderId="3" xfId="0" applyFont="1" applyFill="1" applyBorder="1" applyAlignment="1">
      <alignment horizontal="left" vertical="center" wrapText="1"/>
    </xf>
    <xf numFmtId="0" fontId="20" fillId="15" borderId="2" xfId="0" applyFont="1" applyFill="1" applyBorder="1" applyAlignment="1">
      <alignment vertical="center" wrapText="1"/>
    </xf>
    <xf numFmtId="0" fontId="10" fillId="15" borderId="3" xfId="0" applyFont="1" applyFill="1" applyBorder="1" applyAlignment="1">
      <alignment vertical="center" wrapText="1"/>
    </xf>
    <xf numFmtId="0" fontId="21" fillId="5" borderId="2" xfId="0" applyFont="1" applyFill="1" applyBorder="1" applyAlignment="1" applyProtection="1">
      <alignment vertical="center"/>
      <protection locked="0"/>
    </xf>
    <xf numFmtId="0" fontId="22" fillId="0" borderId="3" xfId="0" applyFont="1" applyBorder="1" applyAlignment="1" applyProtection="1">
      <alignment vertical="center"/>
      <protection locked="0"/>
    </xf>
    <xf numFmtId="0" fontId="22" fillId="0" borderId="4" xfId="0" applyFont="1" applyBorder="1" applyAlignment="1" applyProtection="1">
      <alignment vertical="center"/>
      <protection locked="0"/>
    </xf>
    <xf numFmtId="0" fontId="20" fillId="13" borderId="34" xfId="0" applyFont="1" applyFill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0" fillId="15" borderId="2" xfId="0" applyFont="1" applyFill="1" applyBorder="1" applyAlignment="1">
      <alignment horizontal="left" vertical="center" wrapText="1"/>
    </xf>
    <xf numFmtId="0" fontId="22" fillId="15" borderId="4" xfId="0" applyFont="1" applyFill="1" applyBorder="1" applyAlignment="1">
      <alignment horizontal="left" vertical="center" wrapText="1"/>
    </xf>
    <xf numFmtId="0" fontId="21" fillId="13" borderId="34" xfId="0" applyFont="1" applyFill="1" applyBorder="1" applyAlignment="1">
      <alignment vertical="center" wrapText="1"/>
    </xf>
    <xf numFmtId="0" fontId="20" fillId="13" borderId="37" xfId="0" applyFont="1" applyFill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23" fillId="13" borderId="31" xfId="0" applyFont="1" applyFill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0" fillId="0" borderId="5" xfId="0" applyFill="1" applyBorder="1" applyAlignment="1" applyProtection="1">
      <alignment vertical="center" wrapText="1"/>
      <protection locked="0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 wrapText="1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0" fillId="0" borderId="7" xfId="0" applyBorder="1" applyAlignment="1">
      <alignment vertical="center" wrapText="1"/>
    </xf>
  </cellXfs>
  <cellStyles count="3">
    <cellStyle name="Comma" xfId="2" builtinId="3"/>
    <cellStyle name="Normal" xfId="0" builtinId="0"/>
    <cellStyle name="Percent" xfId="1" builtinId="5"/>
  </cellStyles>
  <dxfs count="25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theme="2"/>
        </patternFill>
      </fill>
    </dxf>
    <dxf>
      <fill>
        <patternFill>
          <bgColor rgb="FFCCFFFF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FFCC"/>
      <color rgb="FF1DD3B0"/>
      <color rgb="FF8CEDF2"/>
      <color rgb="FFF95F5F"/>
      <color rgb="FFCCE9AD"/>
      <color rgb="FFCCFFFF"/>
      <color rgb="FFCCECFF"/>
      <color rgb="FFFF9999"/>
      <color rgb="FFFF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28804032239334"/>
          <c:y val="6.9882386974877281E-2"/>
          <c:w val="0.64598494878405688"/>
          <c:h val="0.74483790220666857"/>
        </c:manualLayout>
      </c:layout>
      <c:lineChart>
        <c:grouping val="standard"/>
        <c:varyColors val="0"/>
        <c:ser>
          <c:idx val="0"/>
          <c:order val="0"/>
          <c:tx>
            <c:strRef>
              <c:f>'Sensitivity Analysis'!$F$76:$G$76</c:f>
              <c:strCache>
                <c:ptCount val="2"/>
                <c:pt idx="0">
                  <c:v>lower estimate</c:v>
                </c:pt>
                <c:pt idx="1">
                  <c:v>-10%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'Sensitivity Analysis'!$H$75:$R$75</c:f>
              <c:numCache>
                <c:formatCode>0%</c:formatCode>
                <c:ptCount val="11"/>
                <c:pt idx="0">
                  <c:v>0.3</c:v>
                </c:pt>
                <c:pt idx="1">
                  <c:v>0.37</c:v>
                </c:pt>
                <c:pt idx="2">
                  <c:v>0.43999999999999995</c:v>
                </c:pt>
                <c:pt idx="3">
                  <c:v>0.51</c:v>
                </c:pt>
                <c:pt idx="4">
                  <c:v>0.57999999999999996</c:v>
                </c:pt>
                <c:pt idx="5">
                  <c:v>0.64999999999999991</c:v>
                </c:pt>
                <c:pt idx="6">
                  <c:v>0.72</c:v>
                </c:pt>
                <c:pt idx="7">
                  <c:v>0.78999999999999992</c:v>
                </c:pt>
                <c:pt idx="8">
                  <c:v>0.85999999999999988</c:v>
                </c:pt>
                <c:pt idx="9">
                  <c:v>0.92999999999999994</c:v>
                </c:pt>
                <c:pt idx="10">
                  <c:v>1</c:v>
                </c:pt>
              </c:numCache>
            </c:numRef>
          </c:cat>
          <c:val>
            <c:numRef>
              <c:f>'Sensitivity Analysis'!$H$76:$R$76</c:f>
              <c:numCache>
                <c:formatCode>0%</c:formatCode>
                <c:ptCount val="11"/>
                <c:pt idx="0">
                  <c:v>2.8950340961385601E-2</c:v>
                </c:pt>
                <c:pt idx="1">
                  <c:v>1.7675605572522457E-2</c:v>
                </c:pt>
                <c:pt idx="2">
                  <c:v>6.4008701836588688E-3</c:v>
                </c:pt>
                <c:pt idx="3">
                  <c:v>-4.8738652052042752E-3</c:v>
                </c:pt>
                <c:pt idx="4">
                  <c:v>-1.6148600594067863E-2</c:v>
                </c:pt>
                <c:pt idx="5">
                  <c:v>-2.7423335982931119E-2</c:v>
                </c:pt>
                <c:pt idx="6">
                  <c:v>-3.8698071371794263E-2</c:v>
                </c:pt>
                <c:pt idx="7">
                  <c:v>-4.997280676065774E-2</c:v>
                </c:pt>
                <c:pt idx="8">
                  <c:v>-6.1247542149521106E-2</c:v>
                </c:pt>
                <c:pt idx="9">
                  <c:v>-7.2522277538384361E-2</c:v>
                </c:pt>
                <c:pt idx="10">
                  <c:v>-8.3797012927247727E-2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40-40C2-AE98-8CD8AFAF6FDD}"/>
            </c:ext>
          </c:extLst>
        </c:ser>
        <c:ser>
          <c:idx val="1"/>
          <c:order val="1"/>
          <c:tx>
            <c:strRef>
              <c:f>'Sensitivity Analysis'!$F$77:$G$77</c:f>
              <c:strCache>
                <c:ptCount val="2"/>
                <c:pt idx="0">
                  <c:v>lower mid</c:v>
                </c:pt>
                <c:pt idx="1">
                  <c:v>-3%</c:v>
                </c:pt>
              </c:strCache>
            </c:strRef>
          </c:tx>
          <c:spPr>
            <a:ln>
              <a:solidFill>
                <a:schemeClr val="accent4"/>
              </a:solidFill>
              <a:prstDash val="dashDot"/>
            </a:ln>
          </c:spPr>
          <c:marker>
            <c:symbol val="none"/>
          </c:marker>
          <c:cat>
            <c:numRef>
              <c:f>'Sensitivity Analysis'!$H$75:$R$75</c:f>
              <c:numCache>
                <c:formatCode>0%</c:formatCode>
                <c:ptCount val="11"/>
                <c:pt idx="0">
                  <c:v>0.3</c:v>
                </c:pt>
                <c:pt idx="1">
                  <c:v>0.37</c:v>
                </c:pt>
                <c:pt idx="2">
                  <c:v>0.43999999999999995</c:v>
                </c:pt>
                <c:pt idx="3">
                  <c:v>0.51</c:v>
                </c:pt>
                <c:pt idx="4">
                  <c:v>0.57999999999999996</c:v>
                </c:pt>
                <c:pt idx="5">
                  <c:v>0.64999999999999991</c:v>
                </c:pt>
                <c:pt idx="6">
                  <c:v>0.72</c:v>
                </c:pt>
                <c:pt idx="7">
                  <c:v>0.78999999999999992</c:v>
                </c:pt>
                <c:pt idx="8">
                  <c:v>0.85999999999999988</c:v>
                </c:pt>
                <c:pt idx="9">
                  <c:v>0.92999999999999994</c:v>
                </c:pt>
                <c:pt idx="10">
                  <c:v>1</c:v>
                </c:pt>
              </c:numCache>
            </c:numRef>
          </c:cat>
          <c:val>
            <c:numRef>
              <c:f>'Sensitivity Analysis'!$H$77:$R$77</c:f>
              <c:numCache>
                <c:formatCode>0%</c:formatCode>
                <c:ptCount val="11"/>
                <c:pt idx="0">
                  <c:v>0.1042393903000236</c:v>
                </c:pt>
                <c:pt idx="1">
                  <c:v>9.2139674272950778E-2</c:v>
                </c:pt>
                <c:pt idx="2">
                  <c:v>8.0039958245877951E-2</c:v>
                </c:pt>
                <c:pt idx="3">
                  <c:v>6.7940242218805125E-2</c:v>
                </c:pt>
                <c:pt idx="4">
                  <c:v>5.5840526191732298E-2</c:v>
                </c:pt>
                <c:pt idx="5">
                  <c:v>4.3740810164659472E-2</c:v>
                </c:pt>
                <c:pt idx="6">
                  <c:v>3.1641094137586423E-2</c:v>
                </c:pt>
                <c:pt idx="7">
                  <c:v>1.9541378110513818E-2</c:v>
                </c:pt>
                <c:pt idx="8">
                  <c:v>7.4416620834409919E-3</c:v>
                </c:pt>
                <c:pt idx="9">
                  <c:v>-4.6580539436318347E-3</c:v>
                </c:pt>
                <c:pt idx="10">
                  <c:v>-1.6757769970704772E-2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40-40C2-AE98-8CD8AFAF6FDD}"/>
            </c:ext>
          </c:extLst>
        </c:ser>
        <c:ser>
          <c:idx val="2"/>
          <c:order val="2"/>
          <c:tx>
            <c:strRef>
              <c:f>'Sensitivity Analysis'!$F$78:$G$78</c:f>
              <c:strCache>
                <c:ptCount val="2"/>
                <c:pt idx="0">
                  <c:v>baseline estimate</c:v>
                </c:pt>
                <c:pt idx="1">
                  <c:v>5%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'Sensitivity Analysis'!$H$75:$R$75</c:f>
              <c:numCache>
                <c:formatCode>0%</c:formatCode>
                <c:ptCount val="11"/>
                <c:pt idx="0">
                  <c:v>0.3</c:v>
                </c:pt>
                <c:pt idx="1">
                  <c:v>0.37</c:v>
                </c:pt>
                <c:pt idx="2">
                  <c:v>0.43999999999999995</c:v>
                </c:pt>
                <c:pt idx="3">
                  <c:v>0.51</c:v>
                </c:pt>
                <c:pt idx="4">
                  <c:v>0.57999999999999996</c:v>
                </c:pt>
                <c:pt idx="5">
                  <c:v>0.64999999999999991</c:v>
                </c:pt>
                <c:pt idx="6">
                  <c:v>0.72</c:v>
                </c:pt>
                <c:pt idx="7">
                  <c:v>0.78999999999999992</c:v>
                </c:pt>
                <c:pt idx="8">
                  <c:v>0.85999999999999988</c:v>
                </c:pt>
                <c:pt idx="9">
                  <c:v>0.92999999999999994</c:v>
                </c:pt>
                <c:pt idx="10">
                  <c:v>1</c:v>
                </c:pt>
              </c:numCache>
            </c:numRef>
          </c:cat>
          <c:val>
            <c:numRef>
              <c:f>'Sensitivity Analysis'!$H$78:$R$78</c:f>
              <c:numCache>
                <c:formatCode>0%</c:formatCode>
                <c:ptCount val="11"/>
                <c:pt idx="0">
                  <c:v>0.19141618427107776</c:v>
                </c:pt>
                <c:pt idx="1">
                  <c:v>0.1783612275050257</c:v>
                </c:pt>
                <c:pt idx="2">
                  <c:v>0.16530627073897364</c:v>
                </c:pt>
                <c:pt idx="3">
                  <c:v>0.15225131397292091</c:v>
                </c:pt>
                <c:pt idx="4">
                  <c:v>0.13919635720686885</c:v>
                </c:pt>
                <c:pt idx="5">
                  <c:v>0.12614140044081656</c:v>
                </c:pt>
                <c:pt idx="6">
                  <c:v>0.11308644367476428</c:v>
                </c:pt>
                <c:pt idx="7">
                  <c:v>0.10003148690871222</c:v>
                </c:pt>
                <c:pt idx="8">
                  <c:v>8.6976530142659714E-2</c:v>
                </c:pt>
                <c:pt idx="9">
                  <c:v>7.3921573376607652E-2</c:v>
                </c:pt>
                <c:pt idx="10">
                  <c:v>6.0866616610555146E-2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40-40C2-AE98-8CD8AFAF6FDD}"/>
            </c:ext>
          </c:extLst>
        </c:ser>
        <c:ser>
          <c:idx val="3"/>
          <c:order val="3"/>
          <c:tx>
            <c:strRef>
              <c:f>'Sensitivity Analysis'!$F$79:$G$79</c:f>
              <c:strCache>
                <c:ptCount val="2"/>
                <c:pt idx="0">
                  <c:v>upper mid</c:v>
                </c:pt>
                <c:pt idx="1">
                  <c:v>13%</c:v>
                </c:pt>
              </c:strCache>
            </c:strRef>
          </c:tx>
          <c:spPr>
            <a:ln>
              <a:solidFill>
                <a:schemeClr val="accent2"/>
              </a:solidFill>
              <a:prstDash val="dashDot"/>
            </a:ln>
          </c:spPr>
          <c:marker>
            <c:symbol val="none"/>
          </c:marker>
          <c:cat>
            <c:numRef>
              <c:f>'Sensitivity Analysis'!$H$75:$R$75</c:f>
              <c:numCache>
                <c:formatCode>0%</c:formatCode>
                <c:ptCount val="11"/>
                <c:pt idx="0">
                  <c:v>0.3</c:v>
                </c:pt>
                <c:pt idx="1">
                  <c:v>0.37</c:v>
                </c:pt>
                <c:pt idx="2">
                  <c:v>0.43999999999999995</c:v>
                </c:pt>
                <c:pt idx="3">
                  <c:v>0.51</c:v>
                </c:pt>
                <c:pt idx="4">
                  <c:v>0.57999999999999996</c:v>
                </c:pt>
                <c:pt idx="5">
                  <c:v>0.64999999999999991</c:v>
                </c:pt>
                <c:pt idx="6">
                  <c:v>0.72</c:v>
                </c:pt>
                <c:pt idx="7">
                  <c:v>0.78999999999999992</c:v>
                </c:pt>
                <c:pt idx="8">
                  <c:v>0.85999999999999988</c:v>
                </c:pt>
                <c:pt idx="9">
                  <c:v>0.92999999999999994</c:v>
                </c:pt>
                <c:pt idx="10">
                  <c:v>1</c:v>
                </c:pt>
              </c:numCache>
            </c:numRef>
          </c:cat>
          <c:val>
            <c:numRef>
              <c:f>'Sensitivity Analysis'!$H$79:$R$79</c:f>
              <c:numCache>
                <c:formatCode>0%</c:formatCode>
                <c:ptCount val="11"/>
                <c:pt idx="0">
                  <c:v>0.29353757149431314</c:v>
                </c:pt>
                <c:pt idx="1">
                  <c:v>0.27936361843402802</c:v>
                </c:pt>
                <c:pt idx="2">
                  <c:v>0.26518966537374244</c:v>
                </c:pt>
                <c:pt idx="3">
                  <c:v>0.2510157123134571</c:v>
                </c:pt>
                <c:pt idx="4">
                  <c:v>0.23684175925317197</c:v>
                </c:pt>
                <c:pt idx="5">
                  <c:v>0.22266780619288662</c:v>
                </c:pt>
                <c:pt idx="6">
                  <c:v>0.20849385313260127</c:v>
                </c:pt>
                <c:pt idx="7">
                  <c:v>0.1943199000723157</c:v>
                </c:pt>
                <c:pt idx="8">
                  <c:v>0.18014594701203079</c:v>
                </c:pt>
                <c:pt idx="9">
                  <c:v>0.16597199395174544</c:v>
                </c:pt>
                <c:pt idx="10">
                  <c:v>0.1517980408914601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40-40C2-AE98-8CD8AFAF6FDD}"/>
            </c:ext>
          </c:extLst>
        </c:ser>
        <c:ser>
          <c:idx val="4"/>
          <c:order val="4"/>
          <c:tx>
            <c:strRef>
              <c:f>'Sensitivity Analysis'!$F$80:$G$80</c:f>
              <c:strCache>
                <c:ptCount val="2"/>
                <c:pt idx="0">
                  <c:v>upper estimate</c:v>
                </c:pt>
                <c:pt idx="1">
                  <c:v>20%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'Sensitivity Analysis'!$H$75:$R$75</c:f>
              <c:numCache>
                <c:formatCode>0%</c:formatCode>
                <c:ptCount val="11"/>
                <c:pt idx="0">
                  <c:v>0.3</c:v>
                </c:pt>
                <c:pt idx="1">
                  <c:v>0.37</c:v>
                </c:pt>
                <c:pt idx="2">
                  <c:v>0.43999999999999995</c:v>
                </c:pt>
                <c:pt idx="3">
                  <c:v>0.51</c:v>
                </c:pt>
                <c:pt idx="4">
                  <c:v>0.57999999999999996</c:v>
                </c:pt>
                <c:pt idx="5">
                  <c:v>0.64999999999999991</c:v>
                </c:pt>
                <c:pt idx="6">
                  <c:v>0.72</c:v>
                </c:pt>
                <c:pt idx="7">
                  <c:v>0.78999999999999992</c:v>
                </c:pt>
                <c:pt idx="8">
                  <c:v>0.85999999999999988</c:v>
                </c:pt>
                <c:pt idx="9">
                  <c:v>0.92999999999999994</c:v>
                </c:pt>
                <c:pt idx="10">
                  <c:v>1</c:v>
                </c:pt>
              </c:numCache>
            </c:numRef>
          </c:cat>
          <c:val>
            <c:numRef>
              <c:f>'Sensitivity Analysis'!$H$80:$R$80</c:f>
              <c:numCache>
                <c:formatCode>0%</c:formatCode>
                <c:ptCount val="11"/>
                <c:pt idx="0">
                  <c:v>0.41480671882190512</c:v>
                </c:pt>
                <c:pt idx="1">
                  <c:v>0.39930395766221793</c:v>
                </c:pt>
                <c:pt idx="2">
                  <c:v>0.38380119650253119</c:v>
                </c:pt>
                <c:pt idx="3">
                  <c:v>0.36829843534284401</c:v>
                </c:pt>
                <c:pt idx="4">
                  <c:v>0.35279567418315683</c:v>
                </c:pt>
                <c:pt idx="5">
                  <c:v>0.33729291302346986</c:v>
                </c:pt>
                <c:pt idx="6">
                  <c:v>0.3217901518637829</c:v>
                </c:pt>
                <c:pt idx="7">
                  <c:v>0.3062873907040955</c:v>
                </c:pt>
                <c:pt idx="8">
                  <c:v>0.29078462954440853</c:v>
                </c:pt>
                <c:pt idx="9">
                  <c:v>0.27528186838472157</c:v>
                </c:pt>
                <c:pt idx="10">
                  <c:v>0.25977910722503439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40-40C2-AE98-8CD8AFAF6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028344"/>
        <c:axId val="265024408"/>
      </c:lineChart>
      <c:catAx>
        <c:axId val="265028344"/>
        <c:scaling>
          <c:orientation val="minMax"/>
        </c:scaling>
        <c:delete val="0"/>
        <c:axPos val="b"/>
        <c:title>
          <c:tx>
            <c:strRef>
              <c:f>'Output - Chart'!$O$3</c:f>
              <c:strCache>
                <c:ptCount val="1"/>
                <c:pt idx="0">
                  <c:v>Phone via e-consult</c:v>
                </c:pt>
              </c:strCache>
            </c:strRef>
          </c:tx>
          <c:layout>
            <c:manualLayout>
              <c:xMode val="edge"/>
              <c:yMode val="edge"/>
              <c:x val="0.29691294838145232"/>
              <c:y val="0.86255054923690089"/>
            </c:manualLayout>
          </c:layout>
          <c:overlay val="0"/>
          <c:spPr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024408"/>
        <c:crosses val="autoZero"/>
        <c:auto val="1"/>
        <c:lblAlgn val="ctr"/>
        <c:lblOffset val="100"/>
        <c:noMultiLvlLbl val="0"/>
      </c:catAx>
      <c:valAx>
        <c:axId val="26502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'Output - Chart'!$O$5</c:f>
              <c:strCache>
                <c:ptCount val="1"/>
                <c:pt idx="0">
                  <c:v>Workload compared to conventional care</c:v>
                </c:pt>
              </c:strCache>
            </c:strRef>
          </c:tx>
          <c:layout>
            <c:manualLayout>
              <c:xMode val="edge"/>
              <c:yMode val="edge"/>
              <c:x val="3.4584581794532318E-2"/>
              <c:y val="0.165978215762044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028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8137941090697"/>
          <c:y val="0.28889229124137261"/>
          <c:w val="0.21752303878681831"/>
          <c:h val="0.2680436563133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'Output - Chart'!$O$2</c:f>
          <c:strCache>
            <c:ptCount val="1"/>
            <c:pt idx="0">
              <c:v>e-consult first compared to conventional: Impact on primary care workload</c:v>
            </c:pt>
          </c:strCache>
        </c:strRef>
      </c:tx>
      <c:layout>
        <c:manualLayout>
          <c:xMode val="edge"/>
          <c:yMode val="edge"/>
          <c:x val="0.12731591571240403"/>
          <c:y val="5.0226581341544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23079708937433"/>
          <c:y val="0.16235656754585767"/>
          <c:w val="0.59179437330334961"/>
          <c:h val="0.67548517340678371"/>
        </c:manualLayout>
      </c:layout>
      <c:lineChart>
        <c:grouping val="standard"/>
        <c:varyColors val="0"/>
        <c:ser>
          <c:idx val="0"/>
          <c:order val="0"/>
          <c:tx>
            <c:strRef>
              <c:f>'Sensitivity Analysis'!$F$65:$G$65</c:f>
              <c:strCache>
                <c:ptCount val="2"/>
                <c:pt idx="0">
                  <c:v>lower estimate</c:v>
                </c:pt>
                <c:pt idx="1">
                  <c:v>-10%</c:v>
                </c:pt>
              </c:strCache>
            </c:strRef>
          </c:tx>
          <c:spPr>
            <a:ln>
              <a:solidFill>
                <a:srgbClr val="FF9999"/>
              </a:solidFill>
              <a:prstDash val="sysDot"/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'Sensitivity Analysis'!$H$64:$R$64</c:f>
              <c:numCache>
                <c:formatCode>0.0</c:formatCode>
                <c:ptCount val="11"/>
                <c:pt idx="0">
                  <c:v>0.3</c:v>
                </c:pt>
                <c:pt idx="1">
                  <c:v>0.37</c:v>
                </c:pt>
                <c:pt idx="2">
                  <c:v>0.43999999999999995</c:v>
                </c:pt>
                <c:pt idx="3">
                  <c:v>0.51</c:v>
                </c:pt>
                <c:pt idx="4">
                  <c:v>0.57999999999999996</c:v>
                </c:pt>
                <c:pt idx="5">
                  <c:v>0.64999999999999991</c:v>
                </c:pt>
                <c:pt idx="6">
                  <c:v>0.72</c:v>
                </c:pt>
                <c:pt idx="7">
                  <c:v>0.78999999999999992</c:v>
                </c:pt>
                <c:pt idx="8">
                  <c:v>0.85999999999999988</c:v>
                </c:pt>
                <c:pt idx="9">
                  <c:v>0.92999999999999994</c:v>
                </c:pt>
                <c:pt idx="10">
                  <c:v>1</c:v>
                </c:pt>
              </c:numCache>
            </c:numRef>
          </c:cat>
          <c:val>
            <c:numRef>
              <c:f>'Sensitivity Analysis'!$H$65:$R$65</c:f>
              <c:numCache>
                <c:formatCode>0%</c:formatCode>
                <c:ptCount val="11"/>
                <c:pt idx="0">
                  <c:v>1.0289503409613856</c:v>
                </c:pt>
                <c:pt idx="1">
                  <c:v>1.0176756055725225</c:v>
                </c:pt>
                <c:pt idx="2">
                  <c:v>1.0064008701836589</c:v>
                </c:pt>
                <c:pt idx="3">
                  <c:v>0.99512613479479572</c:v>
                </c:pt>
                <c:pt idx="4">
                  <c:v>0.98385139940593214</c:v>
                </c:pt>
                <c:pt idx="5">
                  <c:v>0.97257666401706888</c:v>
                </c:pt>
                <c:pt idx="6">
                  <c:v>0.96130192862820574</c:v>
                </c:pt>
                <c:pt idx="7">
                  <c:v>0.95002719323934226</c:v>
                </c:pt>
                <c:pt idx="8">
                  <c:v>0.93875245785047889</c:v>
                </c:pt>
                <c:pt idx="9">
                  <c:v>0.92747772246161564</c:v>
                </c:pt>
                <c:pt idx="10">
                  <c:v>0.91620298707275227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3D4-4E63-8448-58D66D189526}"/>
            </c:ext>
          </c:extLst>
        </c:ser>
        <c:ser>
          <c:idx val="1"/>
          <c:order val="1"/>
          <c:tx>
            <c:strRef>
              <c:f>'Sensitivity Analysis'!$F$66:$G$66</c:f>
              <c:strCache>
                <c:ptCount val="2"/>
                <c:pt idx="0">
                  <c:v>lower mid</c:v>
                </c:pt>
                <c:pt idx="1">
                  <c:v>-3%</c:v>
                </c:pt>
              </c:strCache>
            </c:strRef>
          </c:tx>
          <c:spPr>
            <a:ln>
              <a:solidFill>
                <a:srgbClr val="FF9999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'Sensitivity Analysis'!$H$64:$R$64</c:f>
              <c:numCache>
                <c:formatCode>0.0</c:formatCode>
                <c:ptCount val="11"/>
                <c:pt idx="0">
                  <c:v>0.3</c:v>
                </c:pt>
                <c:pt idx="1">
                  <c:v>0.37</c:v>
                </c:pt>
                <c:pt idx="2">
                  <c:v>0.43999999999999995</c:v>
                </c:pt>
                <c:pt idx="3">
                  <c:v>0.51</c:v>
                </c:pt>
                <c:pt idx="4">
                  <c:v>0.57999999999999996</c:v>
                </c:pt>
                <c:pt idx="5">
                  <c:v>0.64999999999999991</c:v>
                </c:pt>
                <c:pt idx="6">
                  <c:v>0.72</c:v>
                </c:pt>
                <c:pt idx="7">
                  <c:v>0.78999999999999992</c:v>
                </c:pt>
                <c:pt idx="8">
                  <c:v>0.85999999999999988</c:v>
                </c:pt>
                <c:pt idx="9">
                  <c:v>0.92999999999999994</c:v>
                </c:pt>
                <c:pt idx="10">
                  <c:v>1</c:v>
                </c:pt>
              </c:numCache>
            </c:numRef>
          </c:cat>
          <c:val>
            <c:numRef>
              <c:f>'Sensitivity Analysis'!$H$66:$R$66</c:f>
              <c:numCache>
                <c:formatCode>0%</c:formatCode>
                <c:ptCount val="11"/>
                <c:pt idx="0">
                  <c:v>1.1042393903000236</c:v>
                </c:pt>
                <c:pt idx="1">
                  <c:v>1.0921396742729508</c:v>
                </c:pt>
                <c:pt idx="2">
                  <c:v>1.080039958245878</c:v>
                </c:pt>
                <c:pt idx="3">
                  <c:v>1.0679402422188051</c:v>
                </c:pt>
                <c:pt idx="4">
                  <c:v>1.0558405261917323</c:v>
                </c:pt>
                <c:pt idx="5">
                  <c:v>1.0437408101646595</c:v>
                </c:pt>
                <c:pt idx="6">
                  <c:v>1.0316410941375864</c:v>
                </c:pt>
                <c:pt idx="7">
                  <c:v>1.0195413781105138</c:v>
                </c:pt>
                <c:pt idx="8">
                  <c:v>1.007441662083441</c:v>
                </c:pt>
                <c:pt idx="9">
                  <c:v>0.99534194605636817</c:v>
                </c:pt>
                <c:pt idx="10">
                  <c:v>0.98324223002929523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3D4-4E63-8448-58D66D189526}"/>
            </c:ext>
          </c:extLst>
        </c:ser>
        <c:ser>
          <c:idx val="2"/>
          <c:order val="2"/>
          <c:tx>
            <c:strRef>
              <c:f>'Sensitivity Analysis'!$F$67:$G$67</c:f>
              <c:strCache>
                <c:ptCount val="2"/>
                <c:pt idx="0">
                  <c:v>baseline estimate</c:v>
                </c:pt>
                <c:pt idx="1">
                  <c:v>5%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'Sensitivity Analysis'!$H$64:$R$64</c:f>
              <c:numCache>
                <c:formatCode>0.0</c:formatCode>
                <c:ptCount val="11"/>
                <c:pt idx="0">
                  <c:v>0.3</c:v>
                </c:pt>
                <c:pt idx="1">
                  <c:v>0.37</c:v>
                </c:pt>
                <c:pt idx="2">
                  <c:v>0.43999999999999995</c:v>
                </c:pt>
                <c:pt idx="3">
                  <c:v>0.51</c:v>
                </c:pt>
                <c:pt idx="4">
                  <c:v>0.57999999999999996</c:v>
                </c:pt>
                <c:pt idx="5">
                  <c:v>0.64999999999999991</c:v>
                </c:pt>
                <c:pt idx="6">
                  <c:v>0.72</c:v>
                </c:pt>
                <c:pt idx="7">
                  <c:v>0.78999999999999992</c:v>
                </c:pt>
                <c:pt idx="8">
                  <c:v>0.85999999999999988</c:v>
                </c:pt>
                <c:pt idx="9">
                  <c:v>0.92999999999999994</c:v>
                </c:pt>
                <c:pt idx="10">
                  <c:v>1</c:v>
                </c:pt>
              </c:numCache>
            </c:numRef>
          </c:cat>
          <c:val>
            <c:numRef>
              <c:f>'Sensitivity Analysis'!$H$67:$R$67</c:f>
              <c:numCache>
                <c:formatCode>0%</c:formatCode>
                <c:ptCount val="11"/>
                <c:pt idx="0">
                  <c:v>1.1914161842710778</c:v>
                </c:pt>
                <c:pt idx="1">
                  <c:v>1.1783612275050257</c:v>
                </c:pt>
                <c:pt idx="2">
                  <c:v>1.1653062707389736</c:v>
                </c:pt>
                <c:pt idx="3">
                  <c:v>1.1522513139729209</c:v>
                </c:pt>
                <c:pt idx="4">
                  <c:v>1.1391963572068688</c:v>
                </c:pt>
                <c:pt idx="5">
                  <c:v>1.1261414004408166</c:v>
                </c:pt>
                <c:pt idx="6">
                  <c:v>1.1130864436747643</c:v>
                </c:pt>
                <c:pt idx="7">
                  <c:v>1.1000314869087122</c:v>
                </c:pt>
                <c:pt idx="8">
                  <c:v>1.0869765301426597</c:v>
                </c:pt>
                <c:pt idx="9">
                  <c:v>1.0739215733766077</c:v>
                </c:pt>
                <c:pt idx="10">
                  <c:v>1.0608666166105551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3D4-4E63-8448-58D66D189526}"/>
            </c:ext>
          </c:extLst>
        </c:ser>
        <c:ser>
          <c:idx val="3"/>
          <c:order val="3"/>
          <c:tx>
            <c:strRef>
              <c:f>'Sensitivity Analysis'!$F$68:$G$68</c:f>
              <c:strCache>
                <c:ptCount val="2"/>
                <c:pt idx="0">
                  <c:v>upper mid</c:v>
                </c:pt>
                <c:pt idx="1">
                  <c:v>13%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'Sensitivity Analysis'!$H$64:$R$64</c:f>
              <c:numCache>
                <c:formatCode>0.0</c:formatCode>
                <c:ptCount val="11"/>
                <c:pt idx="0">
                  <c:v>0.3</c:v>
                </c:pt>
                <c:pt idx="1">
                  <c:v>0.37</c:v>
                </c:pt>
                <c:pt idx="2">
                  <c:v>0.43999999999999995</c:v>
                </c:pt>
                <c:pt idx="3">
                  <c:v>0.51</c:v>
                </c:pt>
                <c:pt idx="4">
                  <c:v>0.57999999999999996</c:v>
                </c:pt>
                <c:pt idx="5">
                  <c:v>0.64999999999999991</c:v>
                </c:pt>
                <c:pt idx="6">
                  <c:v>0.72</c:v>
                </c:pt>
                <c:pt idx="7">
                  <c:v>0.78999999999999992</c:v>
                </c:pt>
                <c:pt idx="8">
                  <c:v>0.85999999999999988</c:v>
                </c:pt>
                <c:pt idx="9">
                  <c:v>0.92999999999999994</c:v>
                </c:pt>
                <c:pt idx="10">
                  <c:v>1</c:v>
                </c:pt>
              </c:numCache>
            </c:numRef>
          </c:cat>
          <c:val>
            <c:numRef>
              <c:f>'Sensitivity Analysis'!$H$68:$R$68</c:f>
              <c:numCache>
                <c:formatCode>0%</c:formatCode>
                <c:ptCount val="11"/>
                <c:pt idx="0">
                  <c:v>1.2935375714943131</c:v>
                </c:pt>
                <c:pt idx="1">
                  <c:v>1.279363618434028</c:v>
                </c:pt>
                <c:pt idx="2">
                  <c:v>1.2651896653737424</c:v>
                </c:pt>
                <c:pt idx="3">
                  <c:v>1.2510157123134571</c:v>
                </c:pt>
                <c:pt idx="4">
                  <c:v>1.236841759253172</c:v>
                </c:pt>
                <c:pt idx="5">
                  <c:v>1.2226678061928866</c:v>
                </c:pt>
                <c:pt idx="6">
                  <c:v>1.2084938531326013</c:v>
                </c:pt>
                <c:pt idx="7">
                  <c:v>1.1943199000723157</c:v>
                </c:pt>
                <c:pt idx="8">
                  <c:v>1.1801459470120308</c:v>
                </c:pt>
                <c:pt idx="9">
                  <c:v>1.1659719939517454</c:v>
                </c:pt>
                <c:pt idx="10">
                  <c:v>1.1517980408914601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3D4-4E63-8448-58D66D189526}"/>
            </c:ext>
          </c:extLst>
        </c:ser>
        <c:ser>
          <c:idx val="4"/>
          <c:order val="4"/>
          <c:tx>
            <c:strRef>
              <c:f>'Sensitivity Analysis'!$F$69:$G$69</c:f>
              <c:strCache>
                <c:ptCount val="2"/>
                <c:pt idx="0">
                  <c:v>upper estimate</c:v>
                </c:pt>
                <c:pt idx="1">
                  <c:v>20%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  <a:prstDash val="sysDot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'Sensitivity Analysis'!$H$64:$R$64</c:f>
              <c:numCache>
                <c:formatCode>0.0</c:formatCode>
                <c:ptCount val="11"/>
                <c:pt idx="0">
                  <c:v>0.3</c:v>
                </c:pt>
                <c:pt idx="1">
                  <c:v>0.37</c:v>
                </c:pt>
                <c:pt idx="2">
                  <c:v>0.43999999999999995</c:v>
                </c:pt>
                <c:pt idx="3">
                  <c:v>0.51</c:v>
                </c:pt>
                <c:pt idx="4">
                  <c:v>0.57999999999999996</c:v>
                </c:pt>
                <c:pt idx="5">
                  <c:v>0.64999999999999991</c:v>
                </c:pt>
                <c:pt idx="6">
                  <c:v>0.72</c:v>
                </c:pt>
                <c:pt idx="7">
                  <c:v>0.78999999999999992</c:v>
                </c:pt>
                <c:pt idx="8">
                  <c:v>0.85999999999999988</c:v>
                </c:pt>
                <c:pt idx="9">
                  <c:v>0.92999999999999994</c:v>
                </c:pt>
                <c:pt idx="10">
                  <c:v>1</c:v>
                </c:pt>
              </c:numCache>
            </c:numRef>
          </c:cat>
          <c:val>
            <c:numRef>
              <c:f>'Sensitivity Analysis'!$H$69:$R$69</c:f>
              <c:numCache>
                <c:formatCode>0%</c:formatCode>
                <c:ptCount val="11"/>
                <c:pt idx="0">
                  <c:v>1.4148067188219051</c:v>
                </c:pt>
                <c:pt idx="1">
                  <c:v>1.3993039576622179</c:v>
                </c:pt>
                <c:pt idx="2">
                  <c:v>1.3838011965025312</c:v>
                </c:pt>
                <c:pt idx="3">
                  <c:v>1.368298435342844</c:v>
                </c:pt>
                <c:pt idx="4">
                  <c:v>1.3527956741831568</c:v>
                </c:pt>
                <c:pt idx="5">
                  <c:v>1.3372929130234699</c:v>
                </c:pt>
                <c:pt idx="6">
                  <c:v>1.3217901518637829</c:v>
                </c:pt>
                <c:pt idx="7">
                  <c:v>1.3062873907040955</c:v>
                </c:pt>
                <c:pt idx="8">
                  <c:v>1.2907846295444085</c:v>
                </c:pt>
                <c:pt idx="9">
                  <c:v>1.2752818683847216</c:v>
                </c:pt>
                <c:pt idx="10">
                  <c:v>1.2597791072250344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3D4-4E63-8448-58D66D189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028344"/>
        <c:axId val="265024408"/>
      </c:lineChart>
      <c:catAx>
        <c:axId val="265028344"/>
        <c:scaling>
          <c:orientation val="minMax"/>
        </c:scaling>
        <c:delete val="0"/>
        <c:axPos val="b"/>
        <c:title>
          <c:tx>
            <c:strRef>
              <c:f>'Output - Chart'!$O$3</c:f>
              <c:strCache>
                <c:ptCount val="1"/>
                <c:pt idx="0">
                  <c:v>Phone via e-consult</c:v>
                </c:pt>
              </c:strCache>
            </c:strRef>
          </c:tx>
          <c:layout>
            <c:manualLayout>
              <c:xMode val="edge"/>
              <c:yMode val="edge"/>
              <c:x val="0.3343484926871767"/>
              <c:y val="0.89231879051478158"/>
            </c:manualLayout>
          </c:layout>
          <c:overlay val="0"/>
          <c:spPr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024408"/>
        <c:crosses val="autoZero"/>
        <c:auto val="1"/>
        <c:lblAlgn val="ctr"/>
        <c:lblOffset val="100"/>
        <c:noMultiLvlLbl val="0"/>
      </c:catAx>
      <c:valAx>
        <c:axId val="26502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'Output - Chart'!$O$5</c:f>
              <c:strCache>
                <c:ptCount val="1"/>
                <c:pt idx="0">
                  <c:v>Workload compared to conventional care</c:v>
                </c:pt>
              </c:strCache>
            </c:strRef>
          </c:tx>
          <c:layout>
            <c:manualLayout>
              <c:xMode val="edge"/>
              <c:yMode val="edge"/>
              <c:x val="3.3109593517642574E-2"/>
              <c:y val="0.173254290108375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028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53565676449533"/>
          <c:y val="0.2796128238323029"/>
          <c:w val="0.22456809963515434"/>
          <c:h val="0.2680436563133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0</xdr:rowOff>
    </xdr:from>
    <xdr:to>
      <xdr:col>16</xdr:col>
      <xdr:colOff>9525</xdr:colOff>
      <xdr:row>16</xdr:row>
      <xdr:rowOff>47625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317500</xdr:colOff>
          <xdr:row>13</xdr:row>
          <xdr:rowOff>215900</xdr:rowOff>
        </xdr:from>
        <xdr:to>
          <xdr:col>6</xdr:col>
          <xdr:colOff>749300</xdr:colOff>
          <xdr:row>15</xdr:row>
          <xdr:rowOff>76200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Set variables to default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0.78402</cdr:x>
      <cdr:y>0.17729</cdr:y>
    </cdr:from>
    <cdr:to>
      <cdr:x>0.98625</cdr:x>
      <cdr:y>0.29794</cdr:y>
    </cdr:to>
    <cdr:sp macro="" textlink="'Output - Chart'!$O$4">
      <cdr:nvSpPr>
        <cdr:cNvPr id="4" name="TextBox 5">
          <a:extLst xmlns:a="http://schemas.openxmlformats.org/drawingml/2006/main">
            <a:ext uri="{FF2B5EF4-FFF2-40B4-BE49-F238E27FC236}">
              <a16:creationId xmlns:a16="http://schemas.microsoft.com/office/drawing/2014/main" id="{00000000-0008-0000-0400-000006000000}"/>
            </a:ext>
          </a:extLst>
        </cdr:cNvPr>
        <cdr:cNvSpPr txBox="1"/>
      </cdr:nvSpPr>
      <cdr:spPr>
        <a:xfrm xmlns:a="http://schemas.openxmlformats.org/drawingml/2006/main">
          <a:off x="6750883" y="822370"/>
          <a:ext cx="1741321" cy="55965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B6BA3E5-F298-426F-9B98-7B4BC80E3FB0}" type="TxLink">
            <a:rPr lang="en-US" sz="1000" b="1" i="0" u="none" strike="noStrike">
              <a:solidFill>
                <a:srgbClr val="000000"/>
              </a:solidFill>
              <a:latin typeface="+mj-lt"/>
            </a:rPr>
            <a:pPr/>
            <a:t>e-consult supply-related demand</a:t>
          </a:fld>
          <a:endParaRPr lang="en-GB" sz="1000" b="1">
            <a:latin typeface="+mj-lt"/>
          </a:endParaRPr>
        </a:p>
      </cdr:txBody>
    </cdr:sp>
  </cdr:relSizeAnchor>
  <cdr:relSizeAnchor xmlns:cdr="http://schemas.openxmlformats.org/drawingml/2006/chartDrawing">
    <cdr:from>
      <cdr:x>0.76883</cdr:x>
      <cdr:y>0.85417</cdr:y>
    </cdr:from>
    <cdr:to>
      <cdr:x>0.99299</cdr:x>
      <cdr:y>0.98617</cdr:y>
    </cdr:to>
    <cdr:sp macro="" textlink="">
      <cdr:nvSpPr>
        <cdr:cNvPr id="5" name="TextBox 5">
          <a:extLst xmlns:a="http://schemas.openxmlformats.org/drawingml/2006/main">
            <a:ext uri="{FF2B5EF4-FFF2-40B4-BE49-F238E27FC236}">
              <a16:creationId xmlns:a16="http://schemas.microsoft.com/office/drawing/2014/main" id="{F0776A8A-B71D-41DF-8FBE-43F4A691CE2A}"/>
            </a:ext>
          </a:extLst>
        </cdr:cNvPr>
        <cdr:cNvSpPr txBox="1"/>
      </cdr:nvSpPr>
      <cdr:spPr>
        <a:xfrm xmlns:a="http://schemas.openxmlformats.org/drawingml/2006/main">
          <a:off x="5272636" y="3514724"/>
          <a:ext cx="1537289" cy="543167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b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000" b="1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r>
            <a:rPr lang="en-US" sz="1000" b="1" i="0" u="none" strike="noStrike" baseline="0">
              <a:solidFill>
                <a:srgbClr val="000000"/>
              </a:solidFill>
              <a:latin typeface="Calibri"/>
            </a:rPr>
            <a:t>Estimate of workload compared with conventional care:</a:t>
          </a:r>
          <a:endParaRPr lang="en-GB" sz="1000" b="1"/>
        </a:p>
      </cdr:txBody>
    </cdr:sp>
  </cdr:relSizeAnchor>
  <cdr:relSizeAnchor xmlns:cdr="http://schemas.openxmlformats.org/drawingml/2006/chartDrawing">
    <cdr:from>
      <cdr:x>0.9198</cdr:x>
      <cdr:y>0.87536</cdr:y>
    </cdr:from>
    <cdr:to>
      <cdr:x>0.98744</cdr:x>
      <cdr:y>0.98684</cdr:y>
    </cdr:to>
    <cdr:sp macro="" textlink="'Output - Chart'!$O$6">
      <cdr:nvSpPr>
        <cdr:cNvPr id="3" name="TextBox 5">
          <a:extLst xmlns:a="http://schemas.openxmlformats.org/drawingml/2006/main">
            <a:ext uri="{FF2B5EF4-FFF2-40B4-BE49-F238E27FC236}">
              <a16:creationId xmlns:a16="http://schemas.microsoft.com/office/drawing/2014/main" id="{0B74CDBF-5421-44E2-9880-7286B8C9BE1E}"/>
            </a:ext>
          </a:extLst>
        </cdr:cNvPr>
        <cdr:cNvSpPr txBox="1"/>
      </cdr:nvSpPr>
      <cdr:spPr>
        <a:xfrm xmlns:a="http://schemas.openxmlformats.org/drawingml/2006/main">
          <a:off x="7920020" y="4841490"/>
          <a:ext cx="582421" cy="616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rtlCol="0" anchor="b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5D045EB-F041-4627-8D79-889D0AA0DFDF}" type="TxLink">
            <a:rPr lang="en-US" sz="1000" b="1" i="0" u="none" strike="noStrike">
              <a:solidFill>
                <a:srgbClr val="000000"/>
              </a:solidFill>
              <a:latin typeface="Calibri"/>
            </a:rPr>
            <a:pPr algn="r"/>
            <a:t>8%</a:t>
          </a:fld>
          <a:endParaRPr lang="en-GB" sz="1000" b="1"/>
        </a:p>
      </cdr:txBody>
    </cdr:sp>
  </cdr:relSizeAnchor>
  <cdr:relSizeAnchor xmlns:cdr="http://schemas.openxmlformats.org/drawingml/2006/chartDrawing">
    <cdr:from>
      <cdr:x>0.50679</cdr:x>
      <cdr:y>0.9283</cdr:y>
    </cdr:from>
    <cdr:to>
      <cdr:x>0.61667</cdr:x>
      <cdr:y>0.98152</cdr:y>
    </cdr:to>
    <cdr:sp macro="" textlink="baseline_estimate">
      <cdr:nvSpPr>
        <cdr:cNvPr id="6" name="TextBox 2">
          <a:extLst xmlns:a="http://schemas.openxmlformats.org/drawingml/2006/main">
            <a:ext uri="{FF2B5EF4-FFF2-40B4-BE49-F238E27FC236}">
              <a16:creationId xmlns:a16="http://schemas.microsoft.com/office/drawing/2014/main" id="{00000000-0008-0000-0200-000003000000}"/>
            </a:ext>
          </a:extLst>
        </cdr:cNvPr>
        <cdr:cNvSpPr txBox="1"/>
      </cdr:nvSpPr>
      <cdr:spPr>
        <a:xfrm xmlns:a="http://schemas.openxmlformats.org/drawingml/2006/main">
          <a:off x="3475566" y="3822700"/>
          <a:ext cx="753557" cy="219174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cmpd="sng">
          <a:solidFill>
            <a:srgbClr val="FFFFCC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9984598B-8A74-4DC3-9F8A-C39340F7B355}" type="TxLink">
            <a:rPr lang="en-US" sz="1000" b="1" i="0" u="none" strike="noStrike">
              <a:solidFill>
                <a:srgbClr val="000000"/>
              </a:solidFill>
              <a:latin typeface="Calibri" panose="020F0502020204030204" pitchFamily="34" charset="0"/>
              <a:cs typeface="Arial"/>
            </a:rPr>
            <a:pPr algn="l"/>
            <a:t>90%</a:t>
          </a:fld>
          <a:endParaRPr lang="en-GB" sz="1000" b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0.28796</cdr:x>
      <cdr:y>0.9267</cdr:y>
    </cdr:from>
    <cdr:to>
      <cdr:x>0.51296</cdr:x>
      <cdr:y>0.98457</cdr:y>
    </cdr:to>
    <cdr:sp macro="" textlink="">
      <cdr:nvSpPr>
        <cdr:cNvPr id="7" name="TextBox 5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4000000}"/>
            </a:ext>
          </a:extLst>
        </cdr:cNvPr>
        <cdr:cNvSpPr txBox="1"/>
      </cdr:nvSpPr>
      <cdr:spPr>
        <a:xfrm xmlns:a="http://schemas.openxmlformats.org/drawingml/2006/main">
          <a:off x="1974850" y="3813175"/>
          <a:ext cx="1543050" cy="2381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b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 i="0" u="none" strike="noStrike" baseline="0">
              <a:solidFill>
                <a:srgbClr val="000000"/>
              </a:solidFill>
              <a:latin typeface="Calibri"/>
            </a:rPr>
            <a:t>X-axis baseline estimate</a:t>
          </a:r>
          <a:endParaRPr lang="en-GB" sz="10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19049</xdr:rowOff>
    </xdr:from>
    <xdr:to>
      <xdr:col>12</xdr:col>
      <xdr:colOff>257174</xdr:colOff>
      <xdr:row>23</xdr:row>
      <xdr:rowOff>114300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371475</xdr:colOff>
      <xdr:row>5</xdr:row>
      <xdr:rowOff>76200</xdr:rowOff>
    </xdr:from>
    <xdr:to>
      <xdr:col>12</xdr:col>
      <xdr:colOff>152401</xdr:colOff>
      <xdr:row>14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857875" y="1409700"/>
          <a:ext cx="1609726" cy="1714500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361949</xdr:colOff>
      <xdr:row>22</xdr:row>
      <xdr:rowOff>28575</xdr:rowOff>
    </xdr:from>
    <xdr:to>
      <xdr:col>7</xdr:col>
      <xdr:colOff>400050</xdr:colOff>
      <xdr:row>23</xdr:row>
      <xdr:rowOff>104775</xdr:rowOff>
    </xdr:to>
    <xdr:sp macro="" textlink="'Output - Chart'!O14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019549" y="4676775"/>
          <a:ext cx="647701" cy="266700"/>
        </a:xfrm>
        <a:prstGeom prst="rect">
          <a:avLst/>
        </a:prstGeom>
        <a:solidFill>
          <a:srgbClr val="FFFFCC"/>
        </a:solidFill>
        <a:ln w="9525" cmpd="sng">
          <a:solidFill>
            <a:srgbClr val="FFFF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pPr algn="l"/>
          <a:fld id="{33A6A9E8-D12C-4E37-89C4-0543D1AB78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90%</a:t>
          </a:fld>
          <a:endParaRPr lang="en-GB" sz="1100"/>
        </a:p>
      </xdr:txBody>
    </xdr:sp>
    <xdr:clientData/>
  </xdr:twoCellAnchor>
  <xdr:oneCellAnchor>
    <xdr:from>
      <xdr:col>13</xdr:col>
      <xdr:colOff>0</xdr:colOff>
      <xdr:row>19</xdr:row>
      <xdr:rowOff>38100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3439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0.75223</cdr:x>
      <cdr:y>0.21934</cdr:y>
    </cdr:from>
    <cdr:to>
      <cdr:x>0.9891</cdr:x>
      <cdr:y>0.33999</cdr:y>
    </cdr:to>
    <cdr:sp macro="" textlink="'Output - Chart'!$O$4">
      <cdr:nvSpPr>
        <cdr:cNvPr id="4" name="TextBox 5">
          <a:extLst xmlns:a="http://schemas.openxmlformats.org/drawingml/2006/main">
            <a:ext uri="{FF2B5EF4-FFF2-40B4-BE49-F238E27FC236}">
              <a16:creationId xmlns:a16="http://schemas.microsoft.com/office/drawing/2014/main" id="{00000000-0008-0000-0400-000006000000}"/>
            </a:ext>
          </a:extLst>
        </cdr:cNvPr>
        <cdr:cNvSpPr txBox="1"/>
      </cdr:nvSpPr>
      <cdr:spPr>
        <a:xfrm xmlns:a="http://schemas.openxmlformats.org/drawingml/2006/main">
          <a:off x="5259108" y="956840"/>
          <a:ext cx="1656041" cy="5263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B6BA3E5-F298-426F-9B98-7B4BC80E3FB0}" type="TxLink">
            <a:rPr lang="en-US" sz="1000" b="1" i="0" u="none" strike="noStrike">
              <a:solidFill>
                <a:srgbClr val="000000"/>
              </a:solidFill>
              <a:latin typeface="Calibri"/>
            </a:rPr>
            <a:pPr/>
            <a:t>e-consult supply-related demand</a:t>
          </a:fld>
          <a:endParaRPr lang="en-GB" sz="1000" b="1"/>
        </a:p>
      </cdr:txBody>
    </cdr:sp>
  </cdr:relSizeAnchor>
  <cdr:relSizeAnchor xmlns:cdr="http://schemas.openxmlformats.org/drawingml/2006/chartDrawing">
    <cdr:from>
      <cdr:x>0.75886</cdr:x>
      <cdr:y>0.60917</cdr:y>
    </cdr:from>
    <cdr:to>
      <cdr:x>0.96185</cdr:x>
      <cdr:y>0.82096</cdr:y>
    </cdr:to>
    <cdr:sp macro="" textlink="">
      <cdr:nvSpPr>
        <cdr:cNvPr id="5" name="TextBox 5">
          <a:extLst xmlns:a="http://schemas.openxmlformats.org/drawingml/2006/main">
            <a:ext uri="{FF2B5EF4-FFF2-40B4-BE49-F238E27FC236}">
              <a16:creationId xmlns:a16="http://schemas.microsoft.com/office/drawing/2014/main" id="{F0776A8A-B71D-41DF-8FBE-43F4A691CE2A}"/>
            </a:ext>
          </a:extLst>
        </cdr:cNvPr>
        <cdr:cNvSpPr txBox="1"/>
      </cdr:nvSpPr>
      <cdr:spPr>
        <a:xfrm xmlns:a="http://schemas.openxmlformats.org/drawingml/2006/main">
          <a:off x="5305424" y="2657476"/>
          <a:ext cx="1419225" cy="9239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b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US" sz="1200" b="1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r"/>
          <a:r>
            <a:rPr lang="en-US" sz="1050" b="1" i="0" u="none" strike="noStrike" baseline="0">
              <a:solidFill>
                <a:srgbClr val="000000"/>
              </a:solidFill>
              <a:latin typeface="Calibri"/>
            </a:rPr>
            <a:t>Workload compared with conventional care:</a:t>
          </a:r>
        </a:p>
        <a:p xmlns:a="http://schemas.openxmlformats.org/drawingml/2006/main">
          <a:pPr algn="r"/>
          <a:endParaRPr lang="en-US" sz="1050" b="1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r"/>
          <a:endParaRPr lang="en-GB" sz="1050" b="1"/>
        </a:p>
      </cdr:txBody>
    </cdr:sp>
  </cdr:relSizeAnchor>
  <cdr:relSizeAnchor xmlns:cdr="http://schemas.openxmlformats.org/drawingml/2006/chartDrawing">
    <cdr:from>
      <cdr:x>0.30518</cdr:x>
      <cdr:y>0.93668</cdr:y>
    </cdr:from>
    <cdr:to>
      <cdr:x>0.5</cdr:x>
      <cdr:y>1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FA40EEF4-B7E5-421C-AFC3-54928CCCDA57}"/>
            </a:ext>
          </a:extLst>
        </cdr:cNvPr>
        <cdr:cNvSpPr txBox="1"/>
      </cdr:nvSpPr>
      <cdr:spPr>
        <a:xfrm xmlns:a="http://schemas.openxmlformats.org/drawingml/2006/main">
          <a:off x="2133600" y="4086226"/>
          <a:ext cx="1362074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</cdr:spPr>
      <cdr:txBody>
        <a:bodyPr xmlns:a="http://schemas.openxmlformats.org/drawingml/2006/main" vertOverflow="clip" wrap="square" rtlCol="0" anchor="b" anchorCtr="0"/>
        <a:lstStyle xmlns:a="http://schemas.openxmlformats.org/drawingml/2006/main"/>
        <a:p xmlns:a="http://schemas.openxmlformats.org/drawingml/2006/main">
          <a:pPr algn="r"/>
          <a:r>
            <a:rPr lang="en-GB" sz="1100"/>
            <a:t>Baseline estimate:</a:t>
          </a:r>
        </a:p>
      </cdr:txBody>
    </cdr:sp>
  </cdr:relSizeAnchor>
  <cdr:relSizeAnchor xmlns:cdr="http://schemas.openxmlformats.org/drawingml/2006/chartDrawing">
    <cdr:from>
      <cdr:x>0.85968</cdr:x>
      <cdr:y>0.74454</cdr:y>
    </cdr:from>
    <cdr:to>
      <cdr:x>0.95777</cdr:x>
      <cdr:y>0.80786</cdr:y>
    </cdr:to>
    <cdr:sp macro="" textlink="'Output - Chart'!$O$6">
      <cdr:nvSpPr>
        <cdr:cNvPr id="3" name="TextBox 5">
          <a:extLst xmlns:a="http://schemas.openxmlformats.org/drawingml/2006/main">
            <a:ext uri="{FF2B5EF4-FFF2-40B4-BE49-F238E27FC236}">
              <a16:creationId xmlns:a16="http://schemas.microsoft.com/office/drawing/2014/main" id="{0B74CDBF-5421-44E2-9880-7286B8C9BE1E}"/>
            </a:ext>
          </a:extLst>
        </cdr:cNvPr>
        <cdr:cNvSpPr txBox="1"/>
      </cdr:nvSpPr>
      <cdr:spPr>
        <a:xfrm xmlns:a="http://schemas.openxmlformats.org/drawingml/2006/main">
          <a:off x="6010293" y="3248026"/>
          <a:ext cx="685781" cy="2762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rtlCol="0" anchor="b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5D045EB-F041-4627-8D79-889D0AA0DFDF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 algn="r"/>
            <a:t>8%</a:t>
          </a:fld>
          <a:endParaRPr lang="en-GB" sz="1400" b="1"/>
        </a:p>
      </cdr:txBody>
    </cdr:sp>
  </cdr:relSizeAnchor>
</c:userShapes>
</file>

<file path=xl/theme/theme1.xml><?xml version="1.0" encoding="utf-8"?>
<a:theme xmlns:a="http://schemas.openxmlformats.org/drawingml/2006/main" name="Metropolitan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45D7E-1388-46A9-9EAD-80E0E12F8A58}">
  <sheetPr codeName="Sheet6"/>
  <dimension ref="A1:W40"/>
  <sheetViews>
    <sheetView showGridLines="0" showRowColHeaders="0" tabSelected="1" zoomScaleNormal="100" workbookViewId="0">
      <selection activeCell="F17" sqref="F17"/>
    </sheetView>
  </sheetViews>
  <sheetFormatPr defaultColWidth="9" defaultRowHeight="14" x14ac:dyDescent="0.3"/>
  <cols>
    <col min="1" max="2" width="1" style="132" customWidth="1"/>
    <col min="3" max="3" width="3.33203125" style="133" customWidth="1"/>
    <col min="4" max="4" width="42.58203125" style="133" customWidth="1"/>
    <col min="5" max="7" width="8.1640625" style="132" customWidth="1"/>
    <col min="8" max="8" width="2.1640625" style="132" customWidth="1"/>
    <col min="9" max="16" width="11.1640625" style="132" customWidth="1"/>
    <col min="17" max="16384" width="9" style="132"/>
  </cols>
  <sheetData>
    <row r="1" spans="1:23" x14ac:dyDescent="0.3">
      <c r="A1" s="263"/>
      <c r="B1" s="263"/>
      <c r="C1" s="263"/>
      <c r="D1" s="263"/>
      <c r="E1" s="263"/>
      <c r="F1" s="263"/>
      <c r="G1" s="26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3" ht="21.75" customHeight="1" x14ac:dyDescent="0.3">
      <c r="A2" s="263"/>
      <c r="B2" s="263"/>
      <c r="C2" s="398" t="s">
        <v>111</v>
      </c>
      <c r="D2" s="399"/>
      <c r="E2" s="400" t="s">
        <v>78</v>
      </c>
      <c r="F2" s="401"/>
      <c r="G2" s="402"/>
      <c r="H2" s="140"/>
      <c r="I2" s="389" t="str">
        <f>'Output - Chart'!$O$2</f>
        <v>e-consult first compared to conventional: Impact on primary care workload</v>
      </c>
      <c r="J2" s="390"/>
      <c r="K2" s="390"/>
      <c r="L2" s="390"/>
      <c r="M2" s="390"/>
      <c r="N2" s="390"/>
      <c r="O2" s="390"/>
      <c r="P2" s="391"/>
      <c r="Q2" s="136"/>
      <c r="R2" s="136"/>
      <c r="S2" s="136"/>
      <c r="T2" s="134"/>
      <c r="U2" s="134"/>
      <c r="V2" s="134"/>
      <c r="W2" s="134"/>
    </row>
    <row r="3" spans="1:23" ht="10" customHeight="1" x14ac:dyDescent="0.3">
      <c r="A3" s="263"/>
      <c r="B3" s="263"/>
      <c r="C3" s="263"/>
      <c r="D3" s="263"/>
      <c r="E3" s="263"/>
      <c r="F3" s="263"/>
      <c r="G3" s="263"/>
      <c r="H3" s="140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4"/>
      <c r="U3" s="134"/>
      <c r="V3" s="134"/>
      <c r="W3" s="134"/>
    </row>
    <row r="4" spans="1:23" ht="22.5" customHeight="1" x14ac:dyDescent="0.3">
      <c r="A4" s="263"/>
      <c r="B4" s="263"/>
      <c r="C4" s="398" t="str">
        <f>"Select the x-axis for the chart (" &amp;E2 &amp;" variables in blue)"</f>
        <v>Select the x-axis for the chart (e-consult first variables in blue)</v>
      </c>
      <c r="D4" s="399"/>
      <c r="E4" s="400" t="s">
        <v>94</v>
      </c>
      <c r="F4" s="401"/>
      <c r="G4" s="402"/>
      <c r="H4" s="140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4"/>
      <c r="U4" s="134"/>
      <c r="V4" s="134"/>
      <c r="W4" s="134"/>
    </row>
    <row r="5" spans="1:23" ht="22.5" customHeight="1" x14ac:dyDescent="0.3">
      <c r="A5" s="263"/>
      <c r="B5" s="263"/>
      <c r="C5" s="398" t="str">
        <f>"Select the legend for the chart (" &amp;E2 &amp;" variables in blue)"</f>
        <v>Select the legend for the chart (e-consult first variables in blue)</v>
      </c>
      <c r="D5" s="399"/>
      <c r="E5" s="400" t="s">
        <v>124</v>
      </c>
      <c r="F5" s="401"/>
      <c r="G5" s="402"/>
      <c r="H5" s="140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4"/>
      <c r="U5" s="134"/>
      <c r="V5" s="134"/>
      <c r="W5" s="134"/>
    </row>
    <row r="6" spans="1:23" ht="10" customHeight="1" x14ac:dyDescent="0.3">
      <c r="A6" s="263"/>
      <c r="B6" s="263"/>
      <c r="C6" s="263"/>
      <c r="D6" s="263"/>
      <c r="E6" s="263"/>
      <c r="F6" s="263"/>
      <c r="G6" s="264"/>
      <c r="H6" s="140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4"/>
      <c r="U6" s="134"/>
      <c r="V6" s="134"/>
      <c r="W6" s="134"/>
    </row>
    <row r="7" spans="1:23" ht="30.75" customHeight="1" x14ac:dyDescent="0.3">
      <c r="A7" s="263"/>
      <c r="B7" s="263"/>
      <c r="C7" s="405" t="s">
        <v>89</v>
      </c>
      <c r="D7" s="406"/>
      <c r="E7" s="265" t="s">
        <v>78</v>
      </c>
      <c r="F7" s="266" t="s">
        <v>79</v>
      </c>
      <c r="G7" s="267" t="s">
        <v>80</v>
      </c>
      <c r="H7" s="140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4"/>
      <c r="U7" s="134"/>
      <c r="V7" s="134"/>
      <c r="W7" s="134"/>
    </row>
    <row r="8" spans="1:23" ht="31.5" customHeight="1" x14ac:dyDescent="0.3">
      <c r="A8" s="263"/>
      <c r="B8" s="263"/>
      <c r="C8" s="410" t="s">
        <v>113</v>
      </c>
      <c r="D8" s="411"/>
      <c r="E8" s="268">
        <v>1</v>
      </c>
      <c r="F8" s="269">
        <v>1</v>
      </c>
      <c r="G8" s="270">
        <v>0.9</v>
      </c>
      <c r="H8" s="140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4"/>
      <c r="U8" s="134"/>
      <c r="V8" s="134"/>
      <c r="W8" s="134"/>
    </row>
    <row r="9" spans="1:23" ht="31.5" customHeight="1" x14ac:dyDescent="0.3">
      <c r="A9" s="263"/>
      <c r="B9" s="263"/>
      <c r="C9" s="403" t="s">
        <v>119</v>
      </c>
      <c r="D9" s="404"/>
      <c r="E9" s="271">
        <v>0.3</v>
      </c>
      <c r="F9" s="381">
        <v>0.8</v>
      </c>
      <c r="G9" s="382">
        <v>0.65</v>
      </c>
      <c r="H9" s="140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4"/>
      <c r="U9" s="134"/>
      <c r="V9" s="134"/>
      <c r="W9" s="134"/>
    </row>
    <row r="10" spans="1:23" ht="31.5" customHeight="1" x14ac:dyDescent="0.3">
      <c r="A10" s="263"/>
      <c r="B10" s="263"/>
      <c r="C10" s="380" t="s">
        <v>91</v>
      </c>
      <c r="D10" s="272" t="s">
        <v>114</v>
      </c>
      <c r="E10" s="271">
        <v>0.9</v>
      </c>
      <c r="F10" s="383"/>
      <c r="G10" s="273"/>
      <c r="H10" s="140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4"/>
      <c r="U10" s="134"/>
      <c r="V10" s="134"/>
      <c r="W10" s="134"/>
    </row>
    <row r="11" spans="1:23" ht="31.5" customHeight="1" x14ac:dyDescent="0.3">
      <c r="A11" s="263"/>
      <c r="B11" s="263"/>
      <c r="C11" s="407" t="s">
        <v>120</v>
      </c>
      <c r="D11" s="404"/>
      <c r="E11" s="274">
        <v>4</v>
      </c>
      <c r="F11" s="275">
        <v>5</v>
      </c>
      <c r="G11" s="276">
        <v>9</v>
      </c>
      <c r="H11" s="140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4"/>
      <c r="U11" s="134"/>
      <c r="V11" s="134"/>
      <c r="W11" s="134"/>
    </row>
    <row r="12" spans="1:23" ht="31.5" customHeight="1" x14ac:dyDescent="0.3">
      <c r="A12" s="263"/>
      <c r="B12" s="263"/>
      <c r="C12" s="408" t="s">
        <v>126</v>
      </c>
      <c r="D12" s="409"/>
      <c r="E12" s="277">
        <v>0.05</v>
      </c>
      <c r="F12" s="278">
        <v>0</v>
      </c>
      <c r="G12" s="279">
        <v>0</v>
      </c>
      <c r="H12" s="140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4"/>
      <c r="U12" s="134"/>
      <c r="V12" s="134"/>
      <c r="W12" s="134"/>
    </row>
    <row r="13" spans="1:23" ht="10" customHeight="1" x14ac:dyDescent="0.3">
      <c r="A13" s="263"/>
      <c r="B13" s="263"/>
      <c r="C13" s="280"/>
      <c r="D13" s="280"/>
      <c r="E13" s="280"/>
      <c r="F13" s="280"/>
      <c r="G13" s="280"/>
      <c r="H13" s="140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4"/>
      <c r="U13" s="134"/>
      <c r="V13" s="134"/>
      <c r="W13" s="134"/>
    </row>
    <row r="14" spans="1:23" ht="22.5" customHeight="1" x14ac:dyDescent="0.3">
      <c r="A14" s="263"/>
      <c r="B14" s="263"/>
      <c r="C14" s="396" t="s">
        <v>90</v>
      </c>
      <c r="D14" s="397"/>
      <c r="E14" s="281"/>
      <c r="F14" s="282"/>
      <c r="G14" s="282"/>
      <c r="H14" s="140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4"/>
      <c r="U14" s="134"/>
      <c r="V14" s="134"/>
      <c r="W14" s="134"/>
    </row>
    <row r="15" spans="1:23" ht="22.5" customHeight="1" x14ac:dyDescent="0.3">
      <c r="A15" s="263"/>
      <c r="B15" s="263"/>
      <c r="C15" s="392" t="s">
        <v>106</v>
      </c>
      <c r="D15" s="393"/>
      <c r="E15" s="283">
        <v>0.14000000000000001</v>
      </c>
      <c r="F15" s="282"/>
      <c r="G15" s="282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4"/>
      <c r="U15" s="134"/>
      <c r="V15" s="134"/>
      <c r="W15" s="134"/>
    </row>
    <row r="16" spans="1:23" ht="22.5" customHeight="1" x14ac:dyDescent="0.3">
      <c r="A16" s="263"/>
      <c r="B16" s="263"/>
      <c r="C16" s="394" t="s">
        <v>86</v>
      </c>
      <c r="D16" s="395"/>
      <c r="E16" s="284">
        <v>9</v>
      </c>
      <c r="F16" s="285"/>
      <c r="G16" s="285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4"/>
      <c r="U16" s="134"/>
      <c r="V16" s="134"/>
      <c r="W16" s="134"/>
    </row>
    <row r="17" spans="1:23" x14ac:dyDescent="0.3">
      <c r="A17" s="263"/>
      <c r="B17" s="263"/>
      <c r="C17" s="285"/>
      <c r="D17" s="285"/>
      <c r="E17" s="285"/>
      <c r="F17" s="285"/>
      <c r="G17" s="285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4"/>
      <c r="U17" s="134"/>
      <c r="V17" s="134"/>
      <c r="W17" s="134"/>
    </row>
    <row r="18" spans="1:23" x14ac:dyDescent="0.3">
      <c r="A18" s="263"/>
      <c r="B18" s="263"/>
      <c r="C18" s="263"/>
      <c r="D18" s="263"/>
      <c r="E18" s="263"/>
      <c r="F18" s="263"/>
      <c r="G18" s="263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</row>
    <row r="19" spans="1:23" x14ac:dyDescent="0.3">
      <c r="A19" s="263"/>
      <c r="B19" s="263"/>
      <c r="C19" s="263"/>
      <c r="D19" s="263"/>
      <c r="E19" s="263"/>
      <c r="F19" s="263"/>
      <c r="G19" s="263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</row>
    <row r="20" spans="1:23" x14ac:dyDescent="0.3">
      <c r="A20" s="263"/>
      <c r="B20" s="263"/>
      <c r="C20" s="263"/>
      <c r="D20" s="263"/>
      <c r="E20" s="263"/>
      <c r="F20" s="263"/>
      <c r="G20" s="263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</row>
    <row r="21" spans="1:23" x14ac:dyDescent="0.3">
      <c r="A21" s="263"/>
      <c r="B21" s="263"/>
      <c r="C21" s="263"/>
      <c r="D21" s="263"/>
      <c r="E21" s="263"/>
      <c r="F21" s="263"/>
      <c r="G21" s="263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</row>
    <row r="22" spans="1:23" x14ac:dyDescent="0.3">
      <c r="A22" s="263"/>
      <c r="B22" s="263"/>
      <c r="C22" s="263"/>
      <c r="D22" s="263"/>
      <c r="E22" s="263"/>
      <c r="F22" s="263"/>
      <c r="G22" s="263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</row>
    <row r="23" spans="1:23" x14ac:dyDescent="0.3">
      <c r="A23" s="263"/>
      <c r="B23" s="263"/>
      <c r="C23" s="263"/>
      <c r="D23" s="263"/>
      <c r="E23" s="263"/>
      <c r="F23" s="263"/>
      <c r="G23" s="263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</row>
    <row r="24" spans="1:23" x14ac:dyDescent="0.3">
      <c r="A24" s="134"/>
      <c r="B24" s="262"/>
      <c r="C24" s="262"/>
      <c r="D24" s="262"/>
      <c r="E24" s="262"/>
      <c r="F24" s="262"/>
      <c r="G24" s="262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</row>
    <row r="25" spans="1:23" x14ac:dyDescent="0.3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</row>
    <row r="26" spans="1:23" x14ac:dyDescent="0.3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</row>
    <row r="27" spans="1:23" x14ac:dyDescent="0.3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</row>
    <row r="28" spans="1:23" x14ac:dyDescent="0.3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</row>
    <row r="29" spans="1:23" x14ac:dyDescent="0.3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</row>
    <row r="30" spans="1:23" x14ac:dyDescent="0.3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</row>
    <row r="31" spans="1:23" x14ac:dyDescent="0.3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</row>
    <row r="32" spans="1:23" x14ac:dyDescent="0.3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x14ac:dyDescent="0.3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</row>
    <row r="34" spans="1:23" x14ac:dyDescent="0.3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x14ac:dyDescent="0.3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x14ac:dyDescent="0.3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</row>
    <row r="37" spans="1:23" x14ac:dyDescent="0.3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x14ac:dyDescent="0.3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x14ac:dyDescent="0.3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</row>
    <row r="40" spans="1:23" x14ac:dyDescent="0.3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</sheetData>
  <sheetProtection algorithmName="SHA-512" hashValue="D9wZfEs5PKeeU/LGMMZQ1mGHi0xm1PPS8ig/gR0/c8NZ1GeJRIW0KxK9lmju/LOTepdjoH+au0A1+AXPGlnwHw==" saltValue="69CK8arLToOcs41B7GIyeA==" spinCount="100000" sheet="1" objects="1" scenarios="1"/>
  <mergeCells count="15">
    <mergeCell ref="I2:P2"/>
    <mergeCell ref="C15:D15"/>
    <mergeCell ref="C16:D16"/>
    <mergeCell ref="C14:D14"/>
    <mergeCell ref="C4:D4"/>
    <mergeCell ref="C5:D5"/>
    <mergeCell ref="E4:G4"/>
    <mergeCell ref="E5:G5"/>
    <mergeCell ref="E2:G2"/>
    <mergeCell ref="C9:D9"/>
    <mergeCell ref="C7:D7"/>
    <mergeCell ref="C2:D2"/>
    <mergeCell ref="C11:D11"/>
    <mergeCell ref="C12:D12"/>
    <mergeCell ref="C8:D8"/>
  </mergeCells>
  <conditionalFormatting sqref="H10">
    <cfRule type="expression" dxfId="24" priority="7">
      <formula>"b2=""e-consult first"""</formula>
    </cfRule>
  </conditionalFormatting>
  <conditionalFormatting sqref="H8:H12">
    <cfRule type="expression" dxfId="23" priority="6">
      <formula>H$7=$E$2</formula>
    </cfRule>
  </conditionalFormatting>
  <conditionalFormatting sqref="E10">
    <cfRule type="expression" dxfId="22" priority="2">
      <formula>"b2=""e-consult first"""</formula>
    </cfRule>
  </conditionalFormatting>
  <conditionalFormatting sqref="E8:G9 E11:G12 E10">
    <cfRule type="expression" dxfId="21" priority="1">
      <formula>E$7=$E$2</formula>
    </cfRule>
  </conditionalFormatting>
  <dataValidations xWindow="523" yWindow="302" count="2">
    <dataValidation allowBlank="1" showInputMessage="1" showErrorMessage="1" promptTitle="Access pathway" prompt="Which access pathway do you wish to model?" sqref="C7 E7:F7" xr:uid="{6381E8FA-20FD-48DF-8E45-0B09237B6017}"/>
    <dataValidation type="list" allowBlank="1" showInputMessage="1" showErrorMessage="1" sqref="E2:G2" xr:uid="{BA15A7D5-B0F7-4A1B-A6F3-F79AF0E12725}">
      <formula1>List_Models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Set_Default">
                <anchor moveWithCells="1" sizeWithCells="1">
                  <from>
                    <xdr:col>5</xdr:col>
                    <xdr:colOff>317500</xdr:colOff>
                    <xdr:row>13</xdr:row>
                    <xdr:rowOff>215900</xdr:rowOff>
                  </from>
                  <to>
                    <xdr:col>6</xdr:col>
                    <xdr:colOff>749300</xdr:colOff>
                    <xdr:row>15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23" yWindow="302" count="25">
        <x14:dataValidation type="list" allowBlank="1" showInputMessage="1" showErrorMessage="1" xr:uid="{64A06D12-E400-4322-82E9-16A9D2341587}">
          <x14:formula1>
            <xm:f>'Upper and Lower Limits'!$D$20:$D$25</xm:f>
          </x14:formula1>
          <xm:sqref>E4:G5</xm:sqref>
        </x14:dataValidation>
        <x14:dataValidation type="decimal" allowBlank="1" showErrorMessage="1" xr:uid="{6B102815-0972-43EA-BD28-EE4D7BC9DD88}">
          <x14:formula1>
            <xm:f>'Upper and Lower Limits'!#REF!</xm:f>
          </x14:formula1>
          <x14:formula2>
            <xm:f>'Upper and Lower Limits'!#REF!</xm:f>
          </x14:formula2>
          <xm:sqref>E26:F27 T2:W3 A1:B3 C1:W1 C3:G3 A11</xm:sqref>
        </x14:dataValidation>
        <x14:dataValidation type="decimal" allowBlank="1" showErrorMessage="1" xr:uid="{11FE3218-1D57-4AA6-A2FC-7FD6A3D3E83E}">
          <x14:formula1>
            <xm:f>'Upper and Lower Limits'!D6</xm:f>
          </x14:formula1>
          <x14:formula2>
            <xm:f>'Upper and Lower Limits'!E6</xm:f>
          </x14:formula2>
          <xm:sqref>T14:W17 H18:W40 D28:G40 C18:C40 B8:B40</xm:sqref>
        </x14:dataValidation>
        <x14:dataValidation type="decimal" allowBlank="1" showErrorMessage="1" xr:uid="{A731DBAF-9FB2-4F9E-91BE-5C7C3D080580}">
          <x14:formula1>
            <xm:f>'Upper and Lower Limits'!I18</xm:f>
          </x14:formula1>
          <x14:formula2>
            <xm:f>'Upper and Lower Limits'!J16</xm:f>
          </x14:formula2>
          <xm:sqref>G18:G25</xm:sqref>
        </x14:dataValidation>
        <x14:dataValidation type="decimal" allowBlank="1" showErrorMessage="1" xr:uid="{1DEE5BC4-AE39-4AA0-9A8D-8B381C5A4516}">
          <x14:formula1>
            <xm:f>'Upper and Lower Limits'!#REF!</xm:f>
          </x14:formula1>
          <x14:formula2>
            <xm:f>'Upper and Lower Limits'!J24</xm:f>
          </x14:formula2>
          <xm:sqref>G26:G27</xm:sqref>
        </x14:dataValidation>
        <x14:dataValidation type="decimal" allowBlank="1" showErrorMessage="1" xr:uid="{B161429F-AE72-483D-8A3D-42414652DE99}">
          <x14:formula1>
            <xm:f>'Upper and Lower Limits'!F16</xm:f>
          </x14:formula1>
          <x14:formula2>
            <xm:f>'Upper and Lower Limits'!G18</xm:f>
          </x14:formula2>
          <xm:sqref>D18:D25</xm:sqref>
        </x14:dataValidation>
        <x14:dataValidation type="decimal" allowBlank="1" showErrorMessage="1" xr:uid="{C481BE12-332F-43F5-AAEE-35098D731547}">
          <x14:formula1>
            <xm:f>'Upper and Lower Limits'!F24</xm:f>
          </x14:formula1>
          <x14:formula2>
            <xm:f>'Upper and Lower Limits'!#REF!</xm:f>
          </x14:formula2>
          <xm:sqref>D26:D27</xm:sqref>
        </x14:dataValidation>
        <x14:dataValidation type="decimal" allowBlank="1" showErrorMessage="1" xr:uid="{089DEDC2-7343-4462-A746-FA42CD95AD84}">
          <x14:formula1>
            <xm:f>'Upper and Lower Limits'!G18</xm:f>
          </x14:formula1>
          <x14:formula2>
            <xm:f>'Upper and Lower Limits'!H18</xm:f>
          </x14:formula2>
          <xm:sqref>E18:F25</xm:sqref>
        </x14:dataValidation>
        <x14:dataValidation type="decimal" allowBlank="1" showErrorMessage="1" xr:uid="{8EB957BF-F9A3-4D8F-9757-10311C25788D}">
          <x14:formula1>
            <xm:f>'Upper and Lower Limits'!C1</xm:f>
          </x14:formula1>
          <x14:formula2>
            <xm:f>'Upper and Lower Limits'!D1</xm:f>
          </x14:formula2>
          <xm:sqref>B4:B7 A15:A40 A4:A10 T4:W13</xm:sqref>
        </x14:dataValidation>
        <x14:dataValidation type="decimal" allowBlank="1" showErrorMessage="1" xr:uid="{F7535319-D81C-4390-9B10-E6C20C81CB2E}">
          <x14:formula1>
            <xm:f>'Upper and Lower Limits'!G3</xm:f>
          </x14:formula1>
          <x14:formula2>
            <xm:f>'Upper and Lower Limits'!H3</xm:f>
          </x14:formula2>
          <xm:sqref>C6:D6</xm:sqref>
        </x14:dataValidation>
        <x14:dataValidation type="decimal" allowBlank="1" showErrorMessage="1" xr:uid="{7718CE9D-4AA7-41CE-9108-75CAB843E11A}">
          <x14:formula1>
            <xm:f>'Upper and Lower Limits'!H3</xm:f>
          </x14:formula1>
          <x14:formula2>
            <xm:f>'Upper and Lower Limits'!I3</xm:f>
          </x14:formula2>
          <xm:sqref>E6:G6</xm:sqref>
        </x14:dataValidation>
        <x14:dataValidation type="decimal" allowBlank="1" showErrorMessage="1" xr:uid="{5CF9FB21-AFF0-4ABD-A759-8BC94D2D7D48}">
          <x14:formula1>
            <xm:f>'Upper and Lower Limits'!C8</xm:f>
          </x14:formula1>
          <x14:formula2>
            <xm:f>'Upper and Lower Limits'!D8</xm:f>
          </x14:formula2>
          <xm:sqref>A12:A14</xm:sqref>
        </x14:dataValidation>
        <x14:dataValidation type="decimal" allowBlank="1" showInputMessage="1" showErrorMessage="1" errorTitle="Outside normal range" error="Your input value must be between the lower limit of -10% and upper limit of 30%. Please click on cancel and try again." promptTitle="Supply-related demand" prompt="Input a value between -10% and 20%" xr:uid="{D8400839-2418-4DF3-985D-87633421E8C4}">
          <x14:formula1>
            <xm:f>'Upper and Lower Limits'!N9</xm:f>
          </x14:formula1>
          <x14:formula2>
            <xm:f>'Upper and Lower Limits'!O9</xm:f>
          </x14:formula2>
          <xm:sqref>G12</xm:sqref>
        </x14:dataValidation>
        <x14:dataValidation type="decimal" allowBlank="1" showInputMessage="1" showErrorMessage="1" errorTitle="Outside normal range" error="Your input value must be between the lower limit of 6 minutes and upper limit of 15 minutes. Please click on cancel and try again." promptTitle="Consultation duration" prompt="Input value between 6 and 15 minutes" xr:uid="{24CCEEFB-4859-4661-952B-02B61D574CE2}">
          <x14:formula1>
            <xm:f>'Upper and Lower Limits'!N8</xm:f>
          </x14:formula1>
          <x14:formula2>
            <xm:f>'Upper and Lower Limits'!O8</xm:f>
          </x14:formula2>
          <xm:sqref>G11</xm:sqref>
        </x14:dataValidation>
        <x14:dataValidation type="decimal" allowBlank="1" showInputMessage="1" showErrorMessage="1" errorTitle="Outside normal range" error="Your input value must be between the lower limit of 4 minutes and upper limit of 6 minutes. Please click on cancel and try again." promptTitle="Consultation duration" prompt="Input value between 4 and 6 minutes" xr:uid="{EDA7502F-9997-4611-80A5-88278A3C7E99}">
          <x14:formula1>
            <xm:f>'Upper and Lower Limits'!K8</xm:f>
          </x14:formula1>
          <x14:formula2>
            <xm:f>'Upper and Lower Limits'!L8</xm:f>
          </x14:formula2>
          <xm:sqref>F11</xm:sqref>
        </x14:dataValidation>
        <x14:dataValidation type="decimal" allowBlank="1" showInputMessage="1" showErrorMessage="1" error="Your input value must be between the lower limit of 20% and upper limit of 90%. Please click on cancel and try again." promptTitle="Phone via e-consult" prompt="Input value between 30% and 90%" xr:uid="{08550860-CC54-4E56-80DF-8E5106DCE591}">
          <x14:formula1>
            <xm:f>'Upper and Lower Limits'!H7</xm:f>
          </x14:formula1>
          <x14:formula2>
            <xm:f>'Upper and Lower Limits'!I7</xm:f>
          </x14:formula2>
          <xm:sqref>E10</xm:sqref>
        </x14:dataValidation>
        <x14:dataValidation type="decimal" allowBlank="1" showInputMessage="1" showErrorMessage="1" errorTitle="Outside normal range" error="Your input value must be between the lower limit of 50% and upper limit of 83%. Please click on cancel and try again." promptTitle="Completion rate" prompt="Input value between 10% and 90%" xr:uid="{828FF1FF-DBD3-4889-924A-908B11740AF2}">
          <x14:formula1>
            <xm:f>'Upper and Lower Limits'!N6</xm:f>
          </x14:formula1>
          <x14:formula2>
            <xm:f>'Upper and Lower Limits'!O6</xm:f>
          </x14:formula2>
          <xm:sqref>G9</xm:sqref>
        </x14:dataValidation>
        <x14:dataValidation type="decimal" allowBlank="1" showInputMessage="1" showErrorMessage="1" errorTitle="Outside normal range" error="Your input value must be between the lower limit of 40% and upper limit of 90%. Please click on cancel and try again." promptTitle="Completion rate" prompt="Input value between 10% and 90%" xr:uid="{C7F71C87-ECCC-421D-B916-AEC5F4F55D59}">
          <x14:formula1>
            <xm:f>'Upper and Lower Limits'!K6</xm:f>
          </x14:formula1>
          <x14:formula2>
            <xm:f>'Upper and Lower Limits'!L6</xm:f>
          </x14:formula2>
          <xm:sqref>F9</xm:sqref>
        </x14:dataValidation>
        <x14:dataValidation type="decimal" allowBlank="1" showInputMessage="1" showErrorMessage="1" errorTitle="Outside normal range" error="Your input value must be between the lower limit of 28% and upper limit of 70%. Please click on cancel and try again." promptTitle="Completion rate" prompt="Input value between 10% and 90%" xr:uid="{8D8167E0-4595-48DB-81AE-B8181C9DBFED}">
          <x14:formula1>
            <xm:f>'Upper and Lower Limits'!H6</xm:f>
          </x14:formula1>
          <x14:formula2>
            <xm:f>'Upper and Lower Limits'!I6</xm:f>
          </x14:formula2>
          <xm:sqref>E9</xm:sqref>
        </x14:dataValidation>
        <x14:dataValidation type="decimal" allowBlank="1" showInputMessage="1" showErrorMessage="1" errorTitle="Outside normal range" error="Your input value must be between the lower limit of 50% and upper limit of 100%. Please click on cancel and try again." promptTitle="Access Rate" prompt="Input value between 0.1% and 90%" xr:uid="{21C05CFB-BD5A-4AFC-BBDE-481A17A1F364}">
          <x14:formula1>
            <xm:f>'Upper and Lower Limits'!N5</xm:f>
          </x14:formula1>
          <x14:formula2>
            <xm:f>'Upper and Lower Limits'!O5</xm:f>
          </x14:formula2>
          <xm:sqref>G8</xm:sqref>
        </x14:dataValidation>
        <x14:dataValidation type="decimal" allowBlank="1" showInputMessage="1" showErrorMessage="1" errorTitle="Outside normal range" error="Your input value must be between the lower limit of 10% and upper limit of 100%. Please click on cancel and try again." promptTitle="Access Rate" prompt="Input value between 0.1% and 100%" xr:uid="{F4E05C52-0093-4AE9-B0B5-6C687B14F49A}">
          <x14:formula1>
            <xm:f>'Upper and Lower Limits'!K5</xm:f>
          </x14:formula1>
          <x14:formula2>
            <xm:f>'Upper and Lower Limits'!L5</xm:f>
          </x14:formula2>
          <xm:sqref>F8</xm:sqref>
        </x14:dataValidation>
        <x14:dataValidation type="decimal" allowBlank="1" showInputMessage="1" showErrorMessage="1" errorTitle="Outside normal range" error="Your input value must be between the lower limit of 1% and upper limit of 95%. Please click on cancel and try again." promptTitle="Access rate" prompt="Input value between 0.01% and 100%." xr:uid="{7DA866DB-DF28-4E97-B5F3-88D4EE02F3C2}">
          <x14:formula1>
            <xm:f>'Upper and Lower Limits'!H5</xm:f>
          </x14:formula1>
          <x14:formula2>
            <xm:f>'Upper and Lower Limits'!I5</xm:f>
          </x14:formula2>
          <xm:sqref>E8</xm:sqref>
        </x14:dataValidation>
        <x14:dataValidation type="decimal" allowBlank="1" showInputMessage="1" showErrorMessage="1" errorTitle="Outside normal range" error="Your input value must be between the lower limit of -10% and upper limit of 30%. Please click on cancel and try again." promptTitle="Supply-related demand" prompt="Input value between -10% and 20%" xr:uid="{229C2DB4-1D4E-4B87-A9AB-D16F11140E21}">
          <x14:formula1>
            <xm:f>'Upper and Lower Limits'!K9</xm:f>
          </x14:formula1>
          <x14:formula2>
            <xm:f>'Upper and Lower Limits'!L9</xm:f>
          </x14:formula2>
          <xm:sqref>F12</xm:sqref>
        </x14:dataValidation>
        <x14:dataValidation type="decimal" allowBlank="1" showInputMessage="1" showErrorMessage="1" errorTitle="Outside normal range" error="Your input value must be between the lower limit of -10% and upper limit of 30%. Please click on cancel and try again." promptTitle="Supply-related demand" prompt="Input value between -10% and 20%" xr:uid="{3AB865C4-2221-4172-BCF3-D7FE41B3828E}">
          <x14:formula1>
            <xm:f>'Upper and Lower Limits'!H9</xm:f>
          </x14:formula1>
          <x14:formula2>
            <xm:f>'Upper and Lower Limits'!I9</xm:f>
          </x14:formula2>
          <xm:sqref>E12</xm:sqref>
        </x14:dataValidation>
        <x14:dataValidation type="decimal" allowBlank="1" showInputMessage="1" showErrorMessage="1" error="Your input value must be between the lower limit of 3 minutes and upper limit of 5 minutes. Please click on cancel and try again." promptTitle="Consultation duration" prompt="Input value between 2 and 5 minutes" xr:uid="{1ABA2CB1-8DB2-4894-8EA2-63FFCBFB3F1E}">
          <x14:formula1>
            <xm:f>'Upper and Lower Limits'!H8</xm:f>
          </x14:formula1>
          <x14:formula2>
            <xm:f>'Upper and Lower Limits'!I8</xm:f>
          </x14:formula2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09378-1BA1-49CD-BA04-BC48E95F482D}">
  <sheetPr codeName="Sheet1"/>
  <dimension ref="A1:V28"/>
  <sheetViews>
    <sheetView showGridLines="0" topLeftCell="A7" zoomScale="75" zoomScaleNormal="75" workbookViewId="0">
      <selection activeCell="G17" sqref="G17:I25"/>
    </sheetView>
  </sheetViews>
  <sheetFormatPr defaultRowHeight="14" x14ac:dyDescent="0.3"/>
  <cols>
    <col min="1" max="1" width="37.33203125" customWidth="1"/>
    <col min="2" max="2" width="4.1640625" customWidth="1"/>
    <col min="3" max="3" width="6.58203125" style="2" customWidth="1"/>
    <col min="4" max="4" width="18.6640625" customWidth="1"/>
    <col min="5" max="5" width="12.58203125" customWidth="1"/>
    <col min="6" max="6" width="14" customWidth="1"/>
    <col min="7" max="7" width="7.83203125" customWidth="1"/>
    <col min="8" max="18" width="6.83203125" customWidth="1"/>
    <col min="19" max="19" width="20.33203125" customWidth="1"/>
    <col min="20" max="22" width="9" customWidth="1"/>
  </cols>
  <sheetData>
    <row r="1" spans="1:22" ht="19.5" customHeight="1" x14ac:dyDescent="0.3"/>
    <row r="2" spans="1:22" x14ac:dyDescent="0.3">
      <c r="T2" s="50">
        <v>0</v>
      </c>
      <c r="U2" s="51">
        <v>1</v>
      </c>
      <c r="V2" s="52">
        <v>2</v>
      </c>
    </row>
    <row r="3" spans="1:22" ht="42" x14ac:dyDescent="0.3">
      <c r="G3" s="43" t="s">
        <v>78</v>
      </c>
      <c r="H3" s="43"/>
      <c r="I3" s="45"/>
      <c r="J3" s="43" t="s">
        <v>97</v>
      </c>
      <c r="K3" s="44"/>
      <c r="L3" s="44"/>
      <c r="M3" s="43" t="s">
        <v>98</v>
      </c>
      <c r="N3" s="44"/>
      <c r="O3" s="45"/>
      <c r="P3" s="43" t="s">
        <v>31</v>
      </c>
      <c r="Q3" s="44"/>
      <c r="R3" s="45"/>
      <c r="T3" s="359" t="e">
        <f>MATCH(AltCon_txt,$J$3:$O$3,0)+T2</f>
        <v>#N/A</v>
      </c>
      <c r="U3" s="359" t="e">
        <f>MATCH(AltCon_txt,$J$3:$O$3,0)+U2</f>
        <v>#N/A</v>
      </c>
      <c r="V3" s="357" t="e">
        <f>MATCH(AltCon_txt,$J$3:$O$3,0)+V2</f>
        <v>#N/A</v>
      </c>
    </row>
    <row r="4" spans="1:22" ht="34.5" x14ac:dyDescent="0.3">
      <c r="F4" s="358" t="s">
        <v>116</v>
      </c>
      <c r="G4" s="46" t="s">
        <v>5</v>
      </c>
      <c r="H4" s="46" t="s">
        <v>2</v>
      </c>
      <c r="I4" s="48" t="s">
        <v>1</v>
      </c>
      <c r="J4" s="54" t="s">
        <v>5</v>
      </c>
      <c r="K4" s="55" t="s">
        <v>2</v>
      </c>
      <c r="L4" s="137" t="s">
        <v>1</v>
      </c>
      <c r="M4" s="46" t="s">
        <v>5</v>
      </c>
      <c r="N4" s="47" t="s">
        <v>2</v>
      </c>
      <c r="O4" s="48" t="s">
        <v>1</v>
      </c>
      <c r="P4" s="54" t="s">
        <v>5</v>
      </c>
      <c r="Q4" s="55" t="s">
        <v>2</v>
      </c>
      <c r="R4" s="137" t="s">
        <v>1</v>
      </c>
      <c r="S4" s="358" t="s">
        <v>117</v>
      </c>
      <c r="T4" s="54" t="s">
        <v>5</v>
      </c>
      <c r="U4" s="55" t="s">
        <v>2</v>
      </c>
      <c r="V4" s="137" t="s">
        <v>1</v>
      </c>
    </row>
    <row r="5" spans="1:22" ht="28.5" customHeight="1" x14ac:dyDescent="0.3">
      <c r="A5" s="412" t="s">
        <v>33</v>
      </c>
      <c r="B5" s="413"/>
      <c r="C5" s="346" t="s">
        <v>55</v>
      </c>
      <c r="D5" s="416" t="s">
        <v>92</v>
      </c>
      <c r="E5" s="413"/>
      <c r="F5" s="208" t="str">
        <f t="shared" ref="F5:F9" si="0">"Tel/video " &amp;D5</f>
        <v>Tel/video Access Rate</v>
      </c>
      <c r="G5" s="141">
        <f>'User Inputs'!E8</f>
        <v>1</v>
      </c>
      <c r="H5" s="150">
        <v>1E-4</v>
      </c>
      <c r="I5" s="151">
        <v>1</v>
      </c>
      <c r="J5" s="143">
        <f>'User Inputs'!F8</f>
        <v>1</v>
      </c>
      <c r="K5" s="155">
        <v>1E-4</v>
      </c>
      <c r="L5" s="156">
        <v>1</v>
      </c>
      <c r="M5" s="143">
        <f>'User Inputs'!G8</f>
        <v>0.9</v>
      </c>
      <c r="N5" s="155">
        <v>1E-4</v>
      </c>
      <c r="O5" s="156">
        <v>1</v>
      </c>
      <c r="P5" s="146">
        <f>'User Inputs'!E15</f>
        <v>0.14000000000000001</v>
      </c>
      <c r="Q5" s="189">
        <f>P5</f>
        <v>0.14000000000000001</v>
      </c>
      <c r="R5" s="190">
        <f>Q5</f>
        <v>0.14000000000000001</v>
      </c>
      <c r="S5" s="373" t="s">
        <v>95</v>
      </c>
      <c r="T5" s="81">
        <f t="shared" ref="T5:V6" si="1">IF(AltCon_txt="e-consult first", J5,INDEX($J5:$O5,1,T$3))</f>
        <v>1</v>
      </c>
      <c r="U5" s="82">
        <f t="shared" si="1"/>
        <v>1E-4</v>
      </c>
      <c r="V5" s="83">
        <f t="shared" si="1"/>
        <v>1</v>
      </c>
    </row>
    <row r="6" spans="1:22" ht="28.5" customHeight="1" x14ac:dyDescent="0.3">
      <c r="A6" s="414" t="s">
        <v>38</v>
      </c>
      <c r="B6" s="415"/>
      <c r="C6" s="347" t="s">
        <v>57</v>
      </c>
      <c r="D6" s="416" t="s">
        <v>93</v>
      </c>
      <c r="E6" s="413"/>
      <c r="F6" s="208" t="str">
        <f t="shared" si="0"/>
        <v>Tel/video Completion Rate</v>
      </c>
      <c r="G6" s="141">
        <f>'User Inputs'!E9</f>
        <v>0.3</v>
      </c>
      <c r="H6" s="150">
        <v>0.1</v>
      </c>
      <c r="I6" s="151">
        <v>0.9</v>
      </c>
      <c r="J6" s="144">
        <f>'User Inputs'!F9</f>
        <v>0.8</v>
      </c>
      <c r="K6" s="157">
        <v>0.1</v>
      </c>
      <c r="L6" s="154">
        <v>0.9</v>
      </c>
      <c r="M6" s="144">
        <f>'User Inputs'!G9</f>
        <v>0.65</v>
      </c>
      <c r="N6" s="157">
        <v>0.1</v>
      </c>
      <c r="O6" s="154">
        <v>0.9</v>
      </c>
      <c r="P6" s="188">
        <f>J6</f>
        <v>0.8</v>
      </c>
      <c r="Q6" s="196">
        <f>K6</f>
        <v>0.1</v>
      </c>
      <c r="R6" s="197">
        <f>L6</f>
        <v>0.9</v>
      </c>
      <c r="S6" s="374" t="s">
        <v>96</v>
      </c>
      <c r="T6" s="84">
        <f t="shared" si="1"/>
        <v>0.8</v>
      </c>
      <c r="U6" s="138">
        <f t="shared" si="1"/>
        <v>0.1</v>
      </c>
      <c r="V6" s="85">
        <f t="shared" si="1"/>
        <v>0.9</v>
      </c>
    </row>
    <row r="7" spans="1:22" ht="34.5" customHeight="1" x14ac:dyDescent="0.3">
      <c r="A7" s="348" t="s">
        <v>84</v>
      </c>
      <c r="B7" s="349"/>
      <c r="C7" s="347" t="s">
        <v>85</v>
      </c>
      <c r="D7" s="350" t="s">
        <v>94</v>
      </c>
      <c r="E7" s="351"/>
      <c r="F7" s="208"/>
      <c r="G7" s="141">
        <f>'User Inputs'!E10</f>
        <v>0.9</v>
      </c>
      <c r="H7" s="150">
        <v>0.3</v>
      </c>
      <c r="I7" s="151">
        <v>1</v>
      </c>
      <c r="J7" s="162"/>
      <c r="K7" s="162"/>
      <c r="L7" s="163"/>
      <c r="M7" s="162"/>
      <c r="N7" s="162"/>
      <c r="O7" s="163"/>
      <c r="P7" s="195"/>
      <c r="Q7" s="162"/>
      <c r="R7" s="163"/>
      <c r="S7" s="374" t="str">
        <f>D7</f>
        <v>Phone via e-consult</v>
      </c>
      <c r="T7" s="84"/>
      <c r="U7" s="138"/>
      <c r="V7" s="85"/>
    </row>
    <row r="8" spans="1:22" ht="28.5" customHeight="1" x14ac:dyDescent="0.3">
      <c r="A8" s="414" t="s">
        <v>37</v>
      </c>
      <c r="B8" s="415"/>
      <c r="C8" s="347" t="s">
        <v>56</v>
      </c>
      <c r="D8" s="417" t="s">
        <v>121</v>
      </c>
      <c r="E8" s="418"/>
      <c r="F8" s="208" t="str">
        <f t="shared" si="0"/>
        <v>Tel/video Consultation Duration</v>
      </c>
      <c r="G8" s="142">
        <f>'User Inputs'!E11</f>
        <v>4</v>
      </c>
      <c r="H8" s="152">
        <v>2</v>
      </c>
      <c r="I8" s="386">
        <v>5</v>
      </c>
      <c r="J8" s="145">
        <f>'User Inputs'!F11</f>
        <v>5</v>
      </c>
      <c r="K8" s="158">
        <v>4</v>
      </c>
      <c r="L8" s="158">
        <v>6</v>
      </c>
      <c r="M8" s="186">
        <f>'User Inputs'!G11</f>
        <v>9</v>
      </c>
      <c r="N8" s="158">
        <v>6</v>
      </c>
      <c r="O8" s="159">
        <v>15</v>
      </c>
      <c r="P8" s="147">
        <f>J8</f>
        <v>5</v>
      </c>
      <c r="Q8" s="191">
        <f>K8</f>
        <v>4</v>
      </c>
      <c r="R8" s="192">
        <f>L8</f>
        <v>6</v>
      </c>
      <c r="S8" s="374" t="s">
        <v>123</v>
      </c>
      <c r="T8" s="86">
        <f t="shared" ref="T8:V10" si="2">IF(AltCon_txt="e-consult first", J8,INDEX($J8:$O8,1,T$3))</f>
        <v>5</v>
      </c>
      <c r="U8" s="139">
        <f t="shared" si="2"/>
        <v>4</v>
      </c>
      <c r="V8" s="87">
        <f t="shared" si="2"/>
        <v>6</v>
      </c>
    </row>
    <row r="9" spans="1:22" ht="28.5" customHeight="1" x14ac:dyDescent="0.3">
      <c r="A9" s="414" t="s">
        <v>81</v>
      </c>
      <c r="B9" s="415"/>
      <c r="C9" s="347" t="s">
        <v>58</v>
      </c>
      <c r="D9" s="417" t="s">
        <v>122</v>
      </c>
      <c r="E9" s="418"/>
      <c r="F9" s="208" t="str">
        <f t="shared" si="0"/>
        <v>Tel/video Supply-related demand</v>
      </c>
      <c r="G9" s="141">
        <f>'User Inputs'!E12</f>
        <v>0.05</v>
      </c>
      <c r="H9" s="153">
        <v>-0.1</v>
      </c>
      <c r="I9" s="157">
        <v>0.2</v>
      </c>
      <c r="J9" s="185">
        <f>'User Inputs'!F12</f>
        <v>0</v>
      </c>
      <c r="K9" s="160">
        <v>-0.1</v>
      </c>
      <c r="L9" s="160">
        <v>0.2</v>
      </c>
      <c r="M9" s="187">
        <f>'User Inputs'!G12</f>
        <v>0</v>
      </c>
      <c r="N9" s="160">
        <v>-0.1</v>
      </c>
      <c r="O9" s="161">
        <v>0.2</v>
      </c>
      <c r="P9" s="149">
        <v>0</v>
      </c>
      <c r="Q9" s="193">
        <v>0</v>
      </c>
      <c r="R9" s="194">
        <v>0</v>
      </c>
      <c r="S9" s="374" t="s">
        <v>124</v>
      </c>
      <c r="T9" s="84">
        <f t="shared" si="2"/>
        <v>0</v>
      </c>
      <c r="U9" s="138">
        <f t="shared" si="2"/>
        <v>-0.1</v>
      </c>
      <c r="V9" s="85">
        <f t="shared" si="2"/>
        <v>0.2</v>
      </c>
    </row>
    <row r="10" spans="1:22" ht="28.5" customHeight="1" x14ac:dyDescent="0.3">
      <c r="A10" s="412" t="s">
        <v>36</v>
      </c>
      <c r="B10" s="413"/>
      <c r="C10" s="346" t="s">
        <v>59</v>
      </c>
      <c r="D10" s="417" t="s">
        <v>46</v>
      </c>
      <c r="E10" s="418"/>
      <c r="F10" s="209"/>
      <c r="G10" s="200">
        <f>$P10</f>
        <v>9</v>
      </c>
      <c r="H10" s="200">
        <f t="shared" ref="H10:O10" si="3">$P10</f>
        <v>9</v>
      </c>
      <c r="I10" s="201">
        <f t="shared" si="3"/>
        <v>9</v>
      </c>
      <c r="J10" s="202">
        <f t="shared" si="3"/>
        <v>9</v>
      </c>
      <c r="K10" s="203">
        <f t="shared" si="3"/>
        <v>9</v>
      </c>
      <c r="L10" s="204">
        <f t="shared" si="3"/>
        <v>9</v>
      </c>
      <c r="M10" s="200">
        <f t="shared" si="3"/>
        <v>9</v>
      </c>
      <c r="N10" s="205">
        <f t="shared" si="3"/>
        <v>9</v>
      </c>
      <c r="O10" s="201">
        <f t="shared" si="3"/>
        <v>9</v>
      </c>
      <c r="P10" s="148">
        <f>'User Inputs'!E16</f>
        <v>9</v>
      </c>
      <c r="Q10" s="198">
        <f>P10</f>
        <v>9</v>
      </c>
      <c r="R10" s="199">
        <f>P10</f>
        <v>9</v>
      </c>
      <c r="S10" s="75"/>
      <c r="T10" s="245">
        <f t="shared" si="2"/>
        <v>9</v>
      </c>
      <c r="U10" s="246">
        <f t="shared" si="2"/>
        <v>9</v>
      </c>
      <c r="V10" s="247">
        <f t="shared" si="2"/>
        <v>9</v>
      </c>
    </row>
    <row r="11" spans="1:22" ht="28.5" customHeight="1" x14ac:dyDescent="0.3">
      <c r="A11" s="360"/>
      <c r="B11" s="361"/>
      <c r="C11" s="308"/>
      <c r="D11" s="362"/>
      <c r="E11" s="361"/>
      <c r="T11" s="139"/>
      <c r="U11" s="139"/>
      <c r="V11" s="139"/>
    </row>
    <row r="12" spans="1:22" ht="12.75" customHeight="1" x14ac:dyDescent="0.3">
      <c r="A12" s="50"/>
      <c r="B12" s="51"/>
      <c r="C12" s="16"/>
      <c r="D12" s="363"/>
      <c r="E12" s="363"/>
      <c r="F12" s="363"/>
      <c r="G12" s="364"/>
      <c r="H12" s="364"/>
      <c r="I12" s="364"/>
      <c r="J12" s="365"/>
      <c r="K12" s="10"/>
      <c r="L12" s="10"/>
      <c r="M12" s="10"/>
      <c r="N12" s="10"/>
      <c r="O12" s="10"/>
      <c r="P12" s="9"/>
      <c r="Q12" s="9"/>
      <c r="R12" s="9"/>
    </row>
    <row r="13" spans="1:22" ht="17.5" x14ac:dyDescent="0.35">
      <c r="A13" s="53"/>
      <c r="B13" s="366"/>
      <c r="C13" s="101"/>
      <c r="D13" s="354" t="s">
        <v>78</v>
      </c>
      <c r="E13" s="366"/>
      <c r="F13" s="366"/>
      <c r="G13" s="366"/>
      <c r="H13" s="366"/>
      <c r="I13" s="366"/>
      <c r="J13" s="367"/>
      <c r="T13" s="69"/>
      <c r="U13" s="69"/>
      <c r="V13" s="69"/>
    </row>
    <row r="14" spans="1:22" ht="17.5" x14ac:dyDescent="0.35">
      <c r="A14" s="53"/>
      <c r="B14" s="366"/>
      <c r="C14" s="101"/>
      <c r="D14" s="355" t="str">
        <f>J3</f>
        <v>Telephone first</v>
      </c>
      <c r="E14" s="366"/>
      <c r="F14" s="366"/>
      <c r="G14" s="366"/>
      <c r="H14" s="366"/>
      <c r="I14" s="366"/>
      <c r="J14" s="367"/>
    </row>
    <row r="15" spans="1:22" ht="17.5" x14ac:dyDescent="0.35">
      <c r="A15" s="53"/>
      <c r="B15" s="366"/>
      <c r="C15" s="101"/>
      <c r="D15" s="356" t="str">
        <f>M3</f>
        <v>Video first</v>
      </c>
      <c r="E15" s="366"/>
      <c r="F15" s="366"/>
      <c r="G15" s="366"/>
      <c r="H15" s="366"/>
      <c r="I15" s="366"/>
      <c r="J15" s="367"/>
    </row>
    <row r="16" spans="1:22" ht="54" customHeight="1" x14ac:dyDescent="0.4">
      <c r="A16" s="372" t="s">
        <v>118</v>
      </c>
      <c r="B16" s="366"/>
      <c r="C16" s="101"/>
      <c r="D16" s="366"/>
      <c r="E16" s="366"/>
      <c r="F16" s="261" t="s">
        <v>112</v>
      </c>
      <c r="G16" s="178" t="s">
        <v>78</v>
      </c>
      <c r="H16" s="179" t="s">
        <v>79</v>
      </c>
      <c r="I16" s="180" t="s">
        <v>80</v>
      </c>
      <c r="J16" s="367"/>
    </row>
    <row r="17" spans="1:22" x14ac:dyDescent="0.3">
      <c r="A17" s="53"/>
      <c r="B17" s="366"/>
      <c r="C17" s="101"/>
      <c r="D17" s="352" t="s">
        <v>42</v>
      </c>
      <c r="E17" s="366"/>
      <c r="F17" s="182" t="s">
        <v>18</v>
      </c>
      <c r="G17" s="164">
        <v>1</v>
      </c>
      <c r="H17" s="165">
        <v>1</v>
      </c>
      <c r="I17" s="166">
        <v>0.9</v>
      </c>
      <c r="J17" s="367"/>
      <c r="T17" s="69"/>
      <c r="U17" s="69"/>
      <c r="V17" s="69"/>
    </row>
    <row r="18" spans="1:22" x14ac:dyDescent="0.3">
      <c r="A18" s="53"/>
      <c r="B18" s="366"/>
      <c r="C18" s="101"/>
      <c r="D18" s="353" t="s">
        <v>41</v>
      </c>
      <c r="E18" s="366"/>
      <c r="F18" s="183" t="s">
        <v>20</v>
      </c>
      <c r="G18" s="167">
        <v>0.3</v>
      </c>
      <c r="H18" s="168">
        <v>0.8</v>
      </c>
      <c r="I18" s="169">
        <v>0.65</v>
      </c>
      <c r="J18" s="367"/>
    </row>
    <row r="19" spans="1:22" x14ac:dyDescent="0.3">
      <c r="A19" s="53"/>
      <c r="B19" s="366"/>
      <c r="C19" s="101"/>
      <c r="D19" s="366"/>
      <c r="E19" s="366"/>
      <c r="F19" s="183" t="s">
        <v>104</v>
      </c>
      <c r="G19" s="167">
        <v>0.9</v>
      </c>
      <c r="H19" s="170"/>
      <c r="I19" s="171"/>
      <c r="J19" s="367"/>
    </row>
    <row r="20" spans="1:22" x14ac:dyDescent="0.3">
      <c r="A20" s="53"/>
      <c r="B20" s="366"/>
      <c r="C20" s="101"/>
      <c r="D20" s="74" t="str">
        <f>IF(AltCon_txt="e-consult first",'Upper and Lower Limits'!S5,'Upper and Lower Limits'!F5)</f>
        <v>e-consult access rate</v>
      </c>
      <c r="E20" s="366"/>
      <c r="F20" s="183" t="s">
        <v>19</v>
      </c>
      <c r="G20" s="172">
        <v>4</v>
      </c>
      <c r="H20" s="249">
        <v>5</v>
      </c>
      <c r="I20" s="173">
        <v>9</v>
      </c>
      <c r="J20" s="367"/>
    </row>
    <row r="21" spans="1:22" x14ac:dyDescent="0.3">
      <c r="A21" s="53"/>
      <c r="B21" s="366"/>
      <c r="C21" s="101"/>
      <c r="D21" s="74" t="str">
        <f>IF(AltCon_txt="e-consult first",'Upper and Lower Limits'!S6,'Upper and Lower Limits'!F6)</f>
        <v>e-consult completion rate</v>
      </c>
      <c r="E21" s="366"/>
      <c r="F21" s="184" t="s">
        <v>102</v>
      </c>
      <c r="G21" s="174">
        <v>0.05</v>
      </c>
      <c r="H21" s="175">
        <v>0</v>
      </c>
      <c r="I21" s="176">
        <v>0</v>
      </c>
      <c r="J21" s="367"/>
    </row>
    <row r="22" spans="1:22" x14ac:dyDescent="0.3">
      <c r="A22" s="53"/>
      <c r="B22" s="366"/>
      <c r="C22" s="101"/>
      <c r="D22" s="74" t="str">
        <f>IF(AltCon_txt="e-consult first",'Upper and Lower Limits'!S7,'Upper and Lower Limits'!F8)</f>
        <v>Phone via e-consult</v>
      </c>
      <c r="E22" s="366"/>
      <c r="F22" s="368"/>
      <c r="G22" s="254"/>
      <c r="H22" s="255"/>
      <c r="I22" s="256"/>
      <c r="J22" s="367"/>
    </row>
    <row r="23" spans="1:22" x14ac:dyDescent="0.3">
      <c r="A23" s="53"/>
      <c r="B23" s="366"/>
      <c r="C23" s="101"/>
      <c r="D23" s="74" t="str">
        <f>IF(AltCon_txt="e-consult first",'Upper and Lower Limits'!S8,'Upper and Lower Limits'!F9)</f>
        <v>e-consult consultation duration</v>
      </c>
      <c r="E23" s="366"/>
      <c r="F23" s="368"/>
      <c r="G23" s="257"/>
      <c r="H23" s="135"/>
      <c r="I23" s="258"/>
      <c r="J23" s="367"/>
    </row>
    <row r="24" spans="1:22" x14ac:dyDescent="0.3">
      <c r="A24" s="53"/>
      <c r="B24" s="366"/>
      <c r="C24" s="101"/>
      <c r="D24" s="74" t="str">
        <f>IF(AltCon_txt="e-consult first",'Upper and Lower Limits'!S9,"")</f>
        <v>e-consult supply-related demand</v>
      </c>
      <c r="E24" s="366"/>
      <c r="F24" s="182" t="s">
        <v>59</v>
      </c>
      <c r="G24" s="181">
        <v>0.14000000000000001</v>
      </c>
      <c r="H24" s="135"/>
      <c r="I24" s="258"/>
      <c r="J24" s="367"/>
    </row>
    <row r="25" spans="1:22" x14ac:dyDescent="0.3">
      <c r="A25" s="53"/>
      <c r="B25" s="366"/>
      <c r="C25" s="101"/>
      <c r="D25" s="74"/>
      <c r="E25" s="366"/>
      <c r="F25" s="184" t="s">
        <v>105</v>
      </c>
      <c r="G25" s="177">
        <v>9</v>
      </c>
      <c r="H25" s="259"/>
      <c r="I25" s="260"/>
      <c r="J25" s="367"/>
    </row>
    <row r="26" spans="1:22" x14ac:dyDescent="0.3">
      <c r="A26" s="53"/>
      <c r="B26" s="366"/>
      <c r="C26" s="101"/>
      <c r="D26" s="74"/>
      <c r="E26" s="366"/>
      <c r="F26" s="366"/>
      <c r="G26" s="366"/>
      <c r="H26" s="366"/>
      <c r="I26" s="366"/>
      <c r="J26" s="367"/>
    </row>
    <row r="27" spans="1:22" x14ac:dyDescent="0.3">
      <c r="A27" s="53"/>
      <c r="B27" s="366"/>
      <c r="C27" s="101"/>
      <c r="D27" s="366"/>
      <c r="E27" s="366"/>
      <c r="F27" s="366"/>
      <c r="G27" s="366"/>
      <c r="H27" s="366"/>
      <c r="I27" s="366"/>
      <c r="J27" s="367"/>
    </row>
    <row r="28" spans="1:22" x14ac:dyDescent="0.3">
      <c r="A28" s="369"/>
      <c r="B28" s="370"/>
      <c r="C28" s="17"/>
      <c r="D28" s="370"/>
      <c r="E28" s="370"/>
      <c r="F28" s="370"/>
      <c r="G28" s="370"/>
      <c r="H28" s="370"/>
      <c r="I28" s="370"/>
      <c r="J28" s="371"/>
    </row>
  </sheetData>
  <mergeCells count="10">
    <mergeCell ref="D10:E10"/>
    <mergeCell ref="D9:E9"/>
    <mergeCell ref="A6:B6"/>
    <mergeCell ref="A9:B9"/>
    <mergeCell ref="A10:B10"/>
    <mergeCell ref="A5:B5"/>
    <mergeCell ref="A8:B8"/>
    <mergeCell ref="D5:E5"/>
    <mergeCell ref="D8:E8"/>
    <mergeCell ref="D6:E6"/>
  </mergeCells>
  <conditionalFormatting sqref="P9:S9 P5:S5 A5:B6 A8:B11 B7 D5:D7 S6:S8 G5:G9">
    <cfRule type="expression" dxfId="20" priority="54">
      <formula>$B5=2</formula>
    </cfRule>
    <cfRule type="expression" dxfId="19" priority="55">
      <formula>$B5=1</formula>
    </cfRule>
  </conditionalFormatting>
  <conditionalFormatting sqref="D11">
    <cfRule type="expression" dxfId="18" priority="36">
      <formula>$B11=2</formula>
    </cfRule>
    <cfRule type="expression" dxfId="17" priority="37">
      <formula>$B11=1</formula>
    </cfRule>
  </conditionalFormatting>
  <conditionalFormatting sqref="G19:H19">
    <cfRule type="expression" dxfId="16" priority="13">
      <formula>"b2=""e-consult first"""</formula>
    </cfRule>
  </conditionalFormatting>
  <conditionalFormatting sqref="I19">
    <cfRule type="expression" dxfId="15" priority="12">
      <formula>"b2=""e-consult first"""</formula>
    </cfRule>
  </conditionalFormatting>
  <conditionalFormatting sqref="G17:I21">
    <cfRule type="expression" dxfId="14" priority="56">
      <formula>G$1=#REF!</formula>
    </cfRule>
  </conditionalFormatting>
  <conditionalFormatting sqref="D8">
    <cfRule type="expression" dxfId="13" priority="9">
      <formula>$B8=2</formula>
    </cfRule>
    <cfRule type="expression" dxfId="12" priority="10">
      <formula>$B8=1</formula>
    </cfRule>
  </conditionalFormatting>
  <conditionalFormatting sqref="D10">
    <cfRule type="expression" dxfId="11" priority="5">
      <formula>$B10=2</formula>
    </cfRule>
    <cfRule type="expression" dxfId="10" priority="6">
      <formula>$B10=1</formula>
    </cfRule>
  </conditionalFormatting>
  <conditionalFormatting sqref="D9">
    <cfRule type="expression" dxfId="9" priority="7">
      <formula>$B9=2</formula>
    </cfRule>
    <cfRule type="expression" dxfId="8" priority="8">
      <formula>$B9=1</formula>
    </cfRule>
  </conditionalFormatting>
  <conditionalFormatting sqref="H5:I7">
    <cfRule type="expression" dxfId="7" priority="3">
      <formula>$B5=2</formula>
    </cfRule>
    <cfRule type="expression" dxfId="6" priority="4">
      <formula>$B5=1</formula>
    </cfRule>
  </conditionalFormatting>
  <conditionalFormatting sqref="H9:I9">
    <cfRule type="expression" dxfId="5" priority="1">
      <formula>$B9=2</formula>
    </cfRule>
    <cfRule type="expression" dxfId="4" priority="2">
      <formula>$B9=1</formula>
    </cfRule>
  </conditionalFormatting>
  <dataValidations count="3">
    <dataValidation allowBlank="1" showInputMessage="1" showErrorMessage="1" promptTitle="Access pathway" prompt="Which access pathway do you wish to model?" sqref="G16:H16" xr:uid="{DFF3A737-E426-4C37-8400-6A5F7F9B9343}"/>
    <dataValidation type="decimal" allowBlank="1" showErrorMessage="1" sqref="F22:F23" xr:uid="{1308955B-E1DD-4A59-B995-409BBC695A4F}">
      <formula1>H26</formula1>
      <formula2>I26</formula2>
    </dataValidation>
    <dataValidation allowBlank="1" showErrorMessage="1" sqref="F24:F25 F17:F21" xr:uid="{D421D196-A1A8-4B8F-89D2-01B42710BFBA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678BD-FEB0-4F8D-95AB-0AAFA06F8A3C}">
  <sheetPr codeName="Sheet7"/>
  <dimension ref="A4:BY80"/>
  <sheetViews>
    <sheetView zoomScale="75" zoomScaleNormal="75" workbookViewId="0">
      <selection activeCell="F25" sqref="F25"/>
    </sheetView>
  </sheetViews>
  <sheetFormatPr defaultColWidth="9" defaultRowHeight="14" x14ac:dyDescent="0.3"/>
  <cols>
    <col min="1" max="1" width="5.6640625" style="1" customWidth="1"/>
    <col min="2" max="2" width="22.33203125" style="2" customWidth="1"/>
    <col min="3" max="3" width="8.58203125" style="2" customWidth="1"/>
    <col min="4" max="4" width="6.1640625" style="1" customWidth="1"/>
    <col min="5" max="5" width="24.58203125" style="2" customWidth="1"/>
    <col min="6" max="6" width="15.1640625" style="1" bestFit="1" customWidth="1"/>
    <col min="7" max="10" width="9" style="1" customWidth="1"/>
    <col min="11" max="11" width="10.5" style="1" customWidth="1"/>
    <col min="12" max="66" width="9" style="1" customWidth="1"/>
    <col min="67" max="16384" width="9" style="1"/>
  </cols>
  <sheetData>
    <row r="4" spans="1:71" x14ac:dyDescent="0.3">
      <c r="E4" s="3"/>
    </row>
    <row r="5" spans="1:71" ht="14.5" thickBot="1" x14ac:dyDescent="0.35"/>
    <row r="6" spans="1:71" ht="14.5" thickBot="1" x14ac:dyDescent="0.35">
      <c r="F6" s="14"/>
      <c r="L6" s="23" t="s">
        <v>13</v>
      </c>
      <c r="M6" s="24"/>
      <c r="N6" s="24"/>
      <c r="O6" s="24"/>
      <c r="P6" s="24"/>
      <c r="Q6" s="24"/>
      <c r="R6" s="24"/>
      <c r="S6" s="24"/>
      <c r="T6" s="24"/>
      <c r="U6" s="24"/>
      <c r="V6" s="41"/>
      <c r="W6" s="42" t="s">
        <v>14</v>
      </c>
      <c r="X6" s="24"/>
      <c r="Y6" s="24"/>
      <c r="Z6" s="24"/>
      <c r="AA6" s="24"/>
      <c r="AB6" s="24"/>
      <c r="AC6" s="24"/>
      <c r="AD6" s="24"/>
      <c r="AE6" s="24"/>
      <c r="AF6" s="24"/>
      <c r="AG6" s="41"/>
      <c r="AH6" s="42" t="s">
        <v>15</v>
      </c>
      <c r="AI6" s="24"/>
      <c r="AJ6" s="24"/>
      <c r="AK6" s="24"/>
      <c r="AL6" s="24"/>
      <c r="AM6" s="24"/>
      <c r="AN6" s="24"/>
      <c r="AO6" s="24"/>
      <c r="AP6" s="24"/>
      <c r="AQ6" s="24"/>
      <c r="AR6" s="41"/>
      <c r="AS6" s="42" t="s">
        <v>16</v>
      </c>
      <c r="AT6" s="24"/>
      <c r="AU6" s="24"/>
      <c r="AV6" s="24"/>
      <c r="AW6" s="24"/>
      <c r="AX6" s="24"/>
      <c r="AY6" s="24"/>
      <c r="AZ6" s="24"/>
      <c r="BA6" s="24"/>
      <c r="BB6" s="24"/>
      <c r="BC6" s="41"/>
      <c r="BD6" s="42" t="s">
        <v>17</v>
      </c>
      <c r="BE6" s="24"/>
      <c r="BF6" s="24"/>
      <c r="BG6" s="24"/>
      <c r="BH6" s="24"/>
      <c r="BI6" s="24"/>
      <c r="BJ6" s="24"/>
      <c r="BK6" s="24"/>
      <c r="BL6" s="24"/>
      <c r="BM6" s="24"/>
      <c r="BN6" s="41"/>
    </row>
    <row r="7" spans="1:71" s="2" customFormat="1" ht="42" x14ac:dyDescent="0.3">
      <c r="D7" s="2" t="s">
        <v>4</v>
      </c>
      <c r="E7" s="3" t="s">
        <v>34</v>
      </c>
      <c r="F7" s="72" t="s">
        <v>5</v>
      </c>
      <c r="G7" s="73" t="s">
        <v>2</v>
      </c>
      <c r="H7" s="73" t="s">
        <v>1</v>
      </c>
      <c r="I7" s="73" t="s">
        <v>11</v>
      </c>
      <c r="J7" s="73" t="s">
        <v>12</v>
      </c>
      <c r="K7" s="73" t="s">
        <v>3</v>
      </c>
      <c r="L7" s="25">
        <v>1</v>
      </c>
      <c r="M7" s="15">
        <v>2</v>
      </c>
      <c r="N7" s="15">
        <v>3</v>
      </c>
      <c r="O7" s="15">
        <v>4</v>
      </c>
      <c r="P7" s="15">
        <v>5</v>
      </c>
      <c r="Q7" s="15">
        <v>6</v>
      </c>
      <c r="R7" s="15">
        <v>7</v>
      </c>
      <c r="S7" s="15">
        <v>8</v>
      </c>
      <c r="T7" s="15">
        <v>9</v>
      </c>
      <c r="U7" s="15">
        <v>10</v>
      </c>
      <c r="V7" s="26">
        <v>11</v>
      </c>
      <c r="W7" s="25">
        <v>1</v>
      </c>
      <c r="X7" s="15">
        <v>2</v>
      </c>
      <c r="Y7" s="15">
        <v>3</v>
      </c>
      <c r="Z7" s="15">
        <v>4</v>
      </c>
      <c r="AA7" s="15">
        <v>5</v>
      </c>
      <c r="AB7" s="15">
        <v>6</v>
      </c>
      <c r="AC7" s="15">
        <v>7</v>
      </c>
      <c r="AD7" s="15">
        <v>8</v>
      </c>
      <c r="AE7" s="15">
        <v>9</v>
      </c>
      <c r="AF7" s="15">
        <v>10</v>
      </c>
      <c r="AG7" s="26">
        <v>11</v>
      </c>
      <c r="AH7" s="25">
        <v>1</v>
      </c>
      <c r="AI7" s="15">
        <v>2</v>
      </c>
      <c r="AJ7" s="15">
        <v>3</v>
      </c>
      <c r="AK7" s="15">
        <v>4</v>
      </c>
      <c r="AL7" s="15">
        <v>5</v>
      </c>
      <c r="AM7" s="15">
        <v>6</v>
      </c>
      <c r="AN7" s="15">
        <v>7</v>
      </c>
      <c r="AO7" s="15">
        <v>8</v>
      </c>
      <c r="AP7" s="15">
        <v>9</v>
      </c>
      <c r="AQ7" s="15">
        <v>10</v>
      </c>
      <c r="AR7" s="26">
        <v>11</v>
      </c>
      <c r="AS7" s="25">
        <v>1</v>
      </c>
      <c r="AT7" s="15">
        <v>2</v>
      </c>
      <c r="AU7" s="15">
        <v>3</v>
      </c>
      <c r="AV7" s="15">
        <v>4</v>
      </c>
      <c r="AW7" s="15">
        <v>5</v>
      </c>
      <c r="AX7" s="15">
        <v>6</v>
      </c>
      <c r="AY7" s="15">
        <v>7</v>
      </c>
      <c r="AZ7" s="15">
        <v>8</v>
      </c>
      <c r="BA7" s="15">
        <v>9</v>
      </c>
      <c r="BB7" s="15">
        <v>10</v>
      </c>
      <c r="BC7" s="26">
        <v>11</v>
      </c>
      <c r="BD7" s="25">
        <v>1</v>
      </c>
      <c r="BE7" s="15">
        <v>2</v>
      </c>
      <c r="BF7" s="15">
        <v>3</v>
      </c>
      <c r="BG7" s="15">
        <v>4</v>
      </c>
      <c r="BH7" s="15">
        <v>5</v>
      </c>
      <c r="BI7" s="15">
        <v>6</v>
      </c>
      <c r="BJ7" s="15">
        <v>7</v>
      </c>
      <c r="BK7" s="15">
        <v>8</v>
      </c>
      <c r="BL7" s="15">
        <v>9</v>
      </c>
      <c r="BM7" s="15">
        <v>10</v>
      </c>
      <c r="BN7" s="15">
        <v>11</v>
      </c>
      <c r="BO7" s="376" t="s">
        <v>77</v>
      </c>
      <c r="BP7" s="1"/>
      <c r="BQ7" s="1"/>
      <c r="BR7" s="1"/>
      <c r="BS7" s="1"/>
    </row>
    <row r="8" spans="1:71" s="2" customFormat="1" ht="15.75" customHeight="1" x14ac:dyDescent="0.3">
      <c r="A8" s="2" t="s">
        <v>60</v>
      </c>
      <c r="B8" s="2" t="s">
        <v>47</v>
      </c>
      <c r="C8" s="2" t="s">
        <v>49</v>
      </c>
      <c r="D8" s="97" t="str">
        <f t="shared" ref="D8:D17" si="0">IF(E8=X_axis_txt,"X", IF(E8=legend_txt,"S",""))</f>
        <v/>
      </c>
      <c r="E8" s="286" t="str">
        <f>'Upper and Lower Limits'!S5</f>
        <v>e-consult access rate</v>
      </c>
      <c r="F8" s="287">
        <f>'Upper and Lower Limits'!G5</f>
        <v>1</v>
      </c>
      <c r="G8" s="287">
        <f>'Upper and Lower Limits'!H5</f>
        <v>1E-4</v>
      </c>
      <c r="H8" s="287">
        <f>'Upper and Lower Limits'!I5</f>
        <v>1</v>
      </c>
      <c r="I8" s="287">
        <f t="shared" ref="I8:I17" si="1">$F8-(($F8-$G8)/2)</f>
        <v>0.50004999999999999</v>
      </c>
      <c r="J8" s="287">
        <f t="shared" ref="J8:J17" si="2">$F8+(($H8-$F8)/2)</f>
        <v>1</v>
      </c>
      <c r="K8" s="288">
        <f t="shared" ref="K8:K17" si="3">(H8-G8)/10</f>
        <v>9.9989999999999996E-2</v>
      </c>
      <c r="L8" s="71">
        <f t="shared" ref="L8:V17" si="4">IF($D8="X",($G8+($K8*(L$7-1))),IF($D8="S",($G8),$F8))</f>
        <v>1</v>
      </c>
      <c r="M8" s="71">
        <f t="shared" si="4"/>
        <v>1</v>
      </c>
      <c r="N8" s="71">
        <f t="shared" si="4"/>
        <v>1</v>
      </c>
      <c r="O8" s="71">
        <f t="shared" si="4"/>
        <v>1</v>
      </c>
      <c r="P8" s="71">
        <f t="shared" si="4"/>
        <v>1</v>
      </c>
      <c r="Q8" s="71">
        <f t="shared" si="4"/>
        <v>1</v>
      </c>
      <c r="R8" s="71">
        <f t="shared" si="4"/>
        <v>1</v>
      </c>
      <c r="S8" s="71">
        <f t="shared" si="4"/>
        <v>1</v>
      </c>
      <c r="T8" s="71">
        <f t="shared" si="4"/>
        <v>1</v>
      </c>
      <c r="U8" s="71">
        <f t="shared" si="4"/>
        <v>1</v>
      </c>
      <c r="V8" s="76">
        <f t="shared" si="4"/>
        <v>1</v>
      </c>
      <c r="W8" s="77">
        <f t="shared" ref="W8:AG17" si="5">IF($D8="X",($G8+($K8*(W$7-1))),IF($D8="S",($I8),$F8))</f>
        <v>1</v>
      </c>
      <c r="X8" s="71">
        <f t="shared" si="5"/>
        <v>1</v>
      </c>
      <c r="Y8" s="71">
        <f t="shared" si="5"/>
        <v>1</v>
      </c>
      <c r="Z8" s="71">
        <f t="shared" si="5"/>
        <v>1</v>
      </c>
      <c r="AA8" s="71">
        <f t="shared" si="5"/>
        <v>1</v>
      </c>
      <c r="AB8" s="71">
        <f t="shared" si="5"/>
        <v>1</v>
      </c>
      <c r="AC8" s="71">
        <f t="shared" si="5"/>
        <v>1</v>
      </c>
      <c r="AD8" s="71">
        <f t="shared" si="5"/>
        <v>1</v>
      </c>
      <c r="AE8" s="71">
        <f t="shared" si="5"/>
        <v>1</v>
      </c>
      <c r="AF8" s="71">
        <f t="shared" si="5"/>
        <v>1</v>
      </c>
      <c r="AG8" s="76">
        <f t="shared" si="5"/>
        <v>1</v>
      </c>
      <c r="AH8" s="77">
        <f t="shared" ref="AH8:AR17" si="6">IF($D8="X",($G8+($K8*(AH$7-1))),IF($D8="S",($F8),$F8))</f>
        <v>1</v>
      </c>
      <c r="AI8" s="71">
        <f t="shared" si="6"/>
        <v>1</v>
      </c>
      <c r="AJ8" s="71">
        <f t="shared" si="6"/>
        <v>1</v>
      </c>
      <c r="AK8" s="71">
        <f t="shared" si="6"/>
        <v>1</v>
      </c>
      <c r="AL8" s="71">
        <f t="shared" si="6"/>
        <v>1</v>
      </c>
      <c r="AM8" s="71">
        <f t="shared" si="6"/>
        <v>1</v>
      </c>
      <c r="AN8" s="71">
        <f t="shared" si="6"/>
        <v>1</v>
      </c>
      <c r="AO8" s="71">
        <f t="shared" si="6"/>
        <v>1</v>
      </c>
      <c r="AP8" s="71">
        <f t="shared" si="6"/>
        <v>1</v>
      </c>
      <c r="AQ8" s="71">
        <f t="shared" si="6"/>
        <v>1</v>
      </c>
      <c r="AR8" s="76">
        <f t="shared" si="6"/>
        <v>1</v>
      </c>
      <c r="AS8" s="77">
        <f t="shared" ref="AS8:BC17" si="7">IF($D8="X",($G8+($K8*(AS$7-1))),IF($D8="S",($J8),$F8))</f>
        <v>1</v>
      </c>
      <c r="AT8" s="71">
        <f t="shared" si="7"/>
        <v>1</v>
      </c>
      <c r="AU8" s="71">
        <f t="shared" si="7"/>
        <v>1</v>
      </c>
      <c r="AV8" s="71">
        <f t="shared" si="7"/>
        <v>1</v>
      </c>
      <c r="AW8" s="71">
        <f t="shared" si="7"/>
        <v>1</v>
      </c>
      <c r="AX8" s="71">
        <f t="shared" si="7"/>
        <v>1</v>
      </c>
      <c r="AY8" s="71">
        <f t="shared" si="7"/>
        <v>1</v>
      </c>
      <c r="AZ8" s="71">
        <f t="shared" si="7"/>
        <v>1</v>
      </c>
      <c r="BA8" s="71">
        <f t="shared" si="7"/>
        <v>1</v>
      </c>
      <c r="BB8" s="71">
        <f t="shared" si="7"/>
        <v>1</v>
      </c>
      <c r="BC8" s="76">
        <f t="shared" si="7"/>
        <v>1</v>
      </c>
      <c r="BD8" s="77">
        <f t="shared" ref="BD8:BN17" si="8">IF($D8="X",($G8+($K8*(BD$7-1))),IF($D8="S",($H8),$F8))</f>
        <v>1</v>
      </c>
      <c r="BE8" s="71">
        <f t="shared" si="8"/>
        <v>1</v>
      </c>
      <c r="BF8" s="71">
        <f t="shared" si="8"/>
        <v>1</v>
      </c>
      <c r="BG8" s="71">
        <f t="shared" si="8"/>
        <v>1</v>
      </c>
      <c r="BH8" s="71">
        <f t="shared" si="8"/>
        <v>1</v>
      </c>
      <c r="BI8" s="71">
        <f t="shared" si="8"/>
        <v>1</v>
      </c>
      <c r="BJ8" s="71">
        <f t="shared" si="8"/>
        <v>1</v>
      </c>
      <c r="BK8" s="71">
        <f t="shared" si="8"/>
        <v>1</v>
      </c>
      <c r="BL8" s="71">
        <f t="shared" si="8"/>
        <v>1</v>
      </c>
      <c r="BM8" s="71">
        <f t="shared" si="8"/>
        <v>1</v>
      </c>
      <c r="BN8" s="329">
        <f t="shared" si="8"/>
        <v>1</v>
      </c>
      <c r="BO8" s="377">
        <f>IF($D8="X",F8,)</f>
        <v>0</v>
      </c>
      <c r="BP8" s="1"/>
      <c r="BQ8" s="1"/>
      <c r="BR8" s="1"/>
      <c r="BS8" s="1"/>
    </row>
    <row r="9" spans="1:71" s="2" customFormat="1" ht="15.75" customHeight="1" x14ac:dyDescent="0.3">
      <c r="A9" s="2" t="s">
        <v>61</v>
      </c>
      <c r="B9" s="2" t="s">
        <v>48</v>
      </c>
      <c r="C9" s="2" t="s">
        <v>49</v>
      </c>
      <c r="D9" s="206" t="str">
        <f t="shared" si="0"/>
        <v/>
      </c>
      <c r="E9" s="289" t="str">
        <f>'Upper and Lower Limits'!S6</f>
        <v>e-consult completion rate</v>
      </c>
      <c r="F9" s="290">
        <f>'Upper and Lower Limits'!G6</f>
        <v>0.3</v>
      </c>
      <c r="G9" s="291">
        <f>'Upper and Lower Limits'!H6</f>
        <v>0.1</v>
      </c>
      <c r="H9" s="291">
        <f>'Upper and Lower Limits'!I6</f>
        <v>0.9</v>
      </c>
      <c r="I9" s="291">
        <f t="shared" si="1"/>
        <v>0.2</v>
      </c>
      <c r="J9" s="291">
        <f t="shared" si="2"/>
        <v>0.60000000000000009</v>
      </c>
      <c r="K9" s="292">
        <f t="shared" si="3"/>
        <v>0.08</v>
      </c>
      <c r="L9" s="71">
        <f t="shared" si="4"/>
        <v>0.3</v>
      </c>
      <c r="M9" s="71">
        <f t="shared" si="4"/>
        <v>0.3</v>
      </c>
      <c r="N9" s="71">
        <f t="shared" si="4"/>
        <v>0.3</v>
      </c>
      <c r="O9" s="71">
        <f t="shared" si="4"/>
        <v>0.3</v>
      </c>
      <c r="P9" s="71">
        <f t="shared" si="4"/>
        <v>0.3</v>
      </c>
      <c r="Q9" s="71">
        <f t="shared" si="4"/>
        <v>0.3</v>
      </c>
      <c r="R9" s="71">
        <f t="shared" si="4"/>
        <v>0.3</v>
      </c>
      <c r="S9" s="71">
        <f t="shared" si="4"/>
        <v>0.3</v>
      </c>
      <c r="T9" s="71">
        <f t="shared" si="4"/>
        <v>0.3</v>
      </c>
      <c r="U9" s="71">
        <f t="shared" si="4"/>
        <v>0.3</v>
      </c>
      <c r="V9" s="76">
        <f t="shared" si="4"/>
        <v>0.3</v>
      </c>
      <c r="W9" s="77">
        <f t="shared" si="5"/>
        <v>0.3</v>
      </c>
      <c r="X9" s="71">
        <f t="shared" si="5"/>
        <v>0.3</v>
      </c>
      <c r="Y9" s="71">
        <f t="shared" si="5"/>
        <v>0.3</v>
      </c>
      <c r="Z9" s="71">
        <f t="shared" si="5"/>
        <v>0.3</v>
      </c>
      <c r="AA9" s="71">
        <f t="shared" si="5"/>
        <v>0.3</v>
      </c>
      <c r="AB9" s="71">
        <f t="shared" si="5"/>
        <v>0.3</v>
      </c>
      <c r="AC9" s="71">
        <f t="shared" si="5"/>
        <v>0.3</v>
      </c>
      <c r="AD9" s="71">
        <f t="shared" si="5"/>
        <v>0.3</v>
      </c>
      <c r="AE9" s="71">
        <f t="shared" si="5"/>
        <v>0.3</v>
      </c>
      <c r="AF9" s="71">
        <f t="shared" si="5"/>
        <v>0.3</v>
      </c>
      <c r="AG9" s="76">
        <f t="shared" si="5"/>
        <v>0.3</v>
      </c>
      <c r="AH9" s="77">
        <f t="shared" si="6"/>
        <v>0.3</v>
      </c>
      <c r="AI9" s="71">
        <f t="shared" si="6"/>
        <v>0.3</v>
      </c>
      <c r="AJ9" s="71">
        <f t="shared" si="6"/>
        <v>0.3</v>
      </c>
      <c r="AK9" s="71">
        <f t="shared" si="6"/>
        <v>0.3</v>
      </c>
      <c r="AL9" s="71">
        <f t="shared" si="6"/>
        <v>0.3</v>
      </c>
      <c r="AM9" s="71">
        <f t="shared" si="6"/>
        <v>0.3</v>
      </c>
      <c r="AN9" s="71">
        <f t="shared" si="6"/>
        <v>0.3</v>
      </c>
      <c r="AO9" s="71">
        <f t="shared" si="6"/>
        <v>0.3</v>
      </c>
      <c r="AP9" s="71">
        <f t="shared" si="6"/>
        <v>0.3</v>
      </c>
      <c r="AQ9" s="71">
        <f t="shared" si="6"/>
        <v>0.3</v>
      </c>
      <c r="AR9" s="76">
        <f t="shared" si="6"/>
        <v>0.3</v>
      </c>
      <c r="AS9" s="77">
        <f t="shared" si="7"/>
        <v>0.3</v>
      </c>
      <c r="AT9" s="71">
        <f t="shared" si="7"/>
        <v>0.3</v>
      </c>
      <c r="AU9" s="71">
        <f t="shared" si="7"/>
        <v>0.3</v>
      </c>
      <c r="AV9" s="71">
        <f t="shared" si="7"/>
        <v>0.3</v>
      </c>
      <c r="AW9" s="71">
        <f t="shared" si="7"/>
        <v>0.3</v>
      </c>
      <c r="AX9" s="71">
        <f t="shared" si="7"/>
        <v>0.3</v>
      </c>
      <c r="AY9" s="71">
        <f t="shared" si="7"/>
        <v>0.3</v>
      </c>
      <c r="AZ9" s="71">
        <f t="shared" si="7"/>
        <v>0.3</v>
      </c>
      <c r="BA9" s="71">
        <f t="shared" si="7"/>
        <v>0.3</v>
      </c>
      <c r="BB9" s="71">
        <f t="shared" si="7"/>
        <v>0.3</v>
      </c>
      <c r="BC9" s="76">
        <f t="shared" si="7"/>
        <v>0.3</v>
      </c>
      <c r="BD9" s="77">
        <f t="shared" si="8"/>
        <v>0.3</v>
      </c>
      <c r="BE9" s="71">
        <f t="shared" si="8"/>
        <v>0.3</v>
      </c>
      <c r="BF9" s="71">
        <f t="shared" si="8"/>
        <v>0.3</v>
      </c>
      <c r="BG9" s="71">
        <f t="shared" si="8"/>
        <v>0.3</v>
      </c>
      <c r="BH9" s="71">
        <f t="shared" si="8"/>
        <v>0.3</v>
      </c>
      <c r="BI9" s="71">
        <f t="shared" si="8"/>
        <v>0.3</v>
      </c>
      <c r="BJ9" s="71">
        <f t="shared" si="8"/>
        <v>0.3</v>
      </c>
      <c r="BK9" s="71">
        <f t="shared" si="8"/>
        <v>0.3</v>
      </c>
      <c r="BL9" s="71">
        <f t="shared" si="8"/>
        <v>0.3</v>
      </c>
      <c r="BM9" s="71">
        <f t="shared" si="8"/>
        <v>0.3</v>
      </c>
      <c r="BN9" s="329">
        <f t="shared" si="8"/>
        <v>0.3</v>
      </c>
      <c r="BO9" s="377">
        <f t="shared" ref="BO9:BO17" si="9">IF($D9="X",F9,)</f>
        <v>0</v>
      </c>
      <c r="BP9" s="1"/>
      <c r="BQ9" s="1"/>
      <c r="BR9" s="1"/>
      <c r="BS9" s="1"/>
    </row>
    <row r="10" spans="1:71" customFormat="1" ht="15.75" customHeight="1" x14ac:dyDescent="0.3">
      <c r="A10" s="111" t="s">
        <v>103</v>
      </c>
      <c r="B10" s="115"/>
      <c r="C10" s="2" t="s">
        <v>49</v>
      </c>
      <c r="D10" s="206" t="str">
        <f t="shared" si="0"/>
        <v>X</v>
      </c>
      <c r="E10" s="293" t="str">
        <f>'Upper and Lower Limits'!S7</f>
        <v>Phone via e-consult</v>
      </c>
      <c r="F10" s="294">
        <f>'Upper and Lower Limits'!G7</f>
        <v>0.9</v>
      </c>
      <c r="G10" s="291">
        <f>'Upper and Lower Limits'!H7</f>
        <v>0.3</v>
      </c>
      <c r="H10" s="291">
        <f>'Upper and Lower Limits'!I7</f>
        <v>1</v>
      </c>
      <c r="I10" s="291">
        <f t="shared" si="1"/>
        <v>0.6</v>
      </c>
      <c r="J10" s="291">
        <f t="shared" si="2"/>
        <v>0.95</v>
      </c>
      <c r="K10" s="292">
        <f t="shared" si="3"/>
        <v>6.9999999999999993E-2</v>
      </c>
      <c r="L10" s="71">
        <f t="shared" si="4"/>
        <v>0.3</v>
      </c>
      <c r="M10" s="71">
        <f t="shared" si="4"/>
        <v>0.37</v>
      </c>
      <c r="N10" s="71">
        <f t="shared" si="4"/>
        <v>0.43999999999999995</v>
      </c>
      <c r="O10" s="71">
        <f t="shared" si="4"/>
        <v>0.51</v>
      </c>
      <c r="P10" s="71">
        <f t="shared" si="4"/>
        <v>0.57999999999999996</v>
      </c>
      <c r="Q10" s="71">
        <f t="shared" si="4"/>
        <v>0.64999999999999991</v>
      </c>
      <c r="R10" s="71">
        <f t="shared" si="4"/>
        <v>0.72</v>
      </c>
      <c r="S10" s="71">
        <f t="shared" si="4"/>
        <v>0.78999999999999992</v>
      </c>
      <c r="T10" s="71">
        <f t="shared" si="4"/>
        <v>0.85999999999999988</v>
      </c>
      <c r="U10" s="71">
        <f t="shared" si="4"/>
        <v>0.92999999999999994</v>
      </c>
      <c r="V10" s="76">
        <f t="shared" si="4"/>
        <v>1</v>
      </c>
      <c r="W10" s="77">
        <f t="shared" si="5"/>
        <v>0.3</v>
      </c>
      <c r="X10" s="71">
        <f t="shared" si="5"/>
        <v>0.37</v>
      </c>
      <c r="Y10" s="71">
        <f t="shared" si="5"/>
        <v>0.43999999999999995</v>
      </c>
      <c r="Z10" s="71">
        <f t="shared" si="5"/>
        <v>0.51</v>
      </c>
      <c r="AA10" s="71">
        <f t="shared" si="5"/>
        <v>0.57999999999999996</v>
      </c>
      <c r="AB10" s="71">
        <f t="shared" si="5"/>
        <v>0.64999999999999991</v>
      </c>
      <c r="AC10" s="71">
        <f t="shared" si="5"/>
        <v>0.72</v>
      </c>
      <c r="AD10" s="71">
        <f t="shared" si="5"/>
        <v>0.78999999999999992</v>
      </c>
      <c r="AE10" s="71">
        <f t="shared" si="5"/>
        <v>0.85999999999999988</v>
      </c>
      <c r="AF10" s="71">
        <f t="shared" si="5"/>
        <v>0.92999999999999994</v>
      </c>
      <c r="AG10" s="76">
        <f t="shared" si="5"/>
        <v>1</v>
      </c>
      <c r="AH10" s="77">
        <f t="shared" si="6"/>
        <v>0.3</v>
      </c>
      <c r="AI10" s="71">
        <f t="shared" si="6"/>
        <v>0.37</v>
      </c>
      <c r="AJ10" s="71">
        <f t="shared" si="6"/>
        <v>0.43999999999999995</v>
      </c>
      <c r="AK10" s="71">
        <f t="shared" si="6"/>
        <v>0.51</v>
      </c>
      <c r="AL10" s="71">
        <f t="shared" si="6"/>
        <v>0.57999999999999996</v>
      </c>
      <c r="AM10" s="71">
        <f t="shared" si="6"/>
        <v>0.64999999999999991</v>
      </c>
      <c r="AN10" s="71">
        <f t="shared" si="6"/>
        <v>0.72</v>
      </c>
      <c r="AO10" s="71">
        <f t="shared" si="6"/>
        <v>0.78999999999999992</v>
      </c>
      <c r="AP10" s="71">
        <f t="shared" si="6"/>
        <v>0.85999999999999988</v>
      </c>
      <c r="AQ10" s="71">
        <f t="shared" si="6"/>
        <v>0.92999999999999994</v>
      </c>
      <c r="AR10" s="76">
        <f t="shared" si="6"/>
        <v>1</v>
      </c>
      <c r="AS10" s="77">
        <f t="shared" si="7"/>
        <v>0.3</v>
      </c>
      <c r="AT10" s="71">
        <f t="shared" si="7"/>
        <v>0.37</v>
      </c>
      <c r="AU10" s="71">
        <f t="shared" si="7"/>
        <v>0.43999999999999995</v>
      </c>
      <c r="AV10" s="71">
        <f t="shared" si="7"/>
        <v>0.51</v>
      </c>
      <c r="AW10" s="71">
        <f t="shared" si="7"/>
        <v>0.57999999999999996</v>
      </c>
      <c r="AX10" s="71">
        <f t="shared" si="7"/>
        <v>0.64999999999999991</v>
      </c>
      <c r="AY10" s="71">
        <f t="shared" si="7"/>
        <v>0.72</v>
      </c>
      <c r="AZ10" s="71">
        <f t="shared" si="7"/>
        <v>0.78999999999999992</v>
      </c>
      <c r="BA10" s="71">
        <f t="shared" si="7"/>
        <v>0.85999999999999988</v>
      </c>
      <c r="BB10" s="71">
        <f t="shared" si="7"/>
        <v>0.92999999999999994</v>
      </c>
      <c r="BC10" s="76">
        <f t="shared" si="7"/>
        <v>1</v>
      </c>
      <c r="BD10" s="77">
        <f t="shared" si="8"/>
        <v>0.3</v>
      </c>
      <c r="BE10" s="71">
        <f t="shared" si="8"/>
        <v>0.37</v>
      </c>
      <c r="BF10" s="71">
        <f t="shared" si="8"/>
        <v>0.43999999999999995</v>
      </c>
      <c r="BG10" s="71">
        <f t="shared" si="8"/>
        <v>0.51</v>
      </c>
      <c r="BH10" s="71">
        <f t="shared" si="8"/>
        <v>0.57999999999999996</v>
      </c>
      <c r="BI10" s="71">
        <f t="shared" si="8"/>
        <v>0.64999999999999991</v>
      </c>
      <c r="BJ10" s="71">
        <f t="shared" si="8"/>
        <v>0.72</v>
      </c>
      <c r="BK10" s="71">
        <f t="shared" si="8"/>
        <v>0.78999999999999992</v>
      </c>
      <c r="BL10" s="71">
        <f t="shared" si="8"/>
        <v>0.85999999999999988</v>
      </c>
      <c r="BM10" s="71">
        <f t="shared" si="8"/>
        <v>0.92999999999999994</v>
      </c>
      <c r="BN10" s="329">
        <f t="shared" si="8"/>
        <v>1</v>
      </c>
      <c r="BO10" s="377">
        <f t="shared" si="9"/>
        <v>0.9</v>
      </c>
      <c r="BP10" s="1"/>
      <c r="BQ10" s="1"/>
      <c r="BR10" s="1"/>
      <c r="BS10" s="1"/>
    </row>
    <row r="11" spans="1:71" customFormat="1" ht="15.75" customHeight="1" x14ac:dyDescent="0.3">
      <c r="A11" s="2" t="s">
        <v>62</v>
      </c>
      <c r="B11" s="2" t="s">
        <v>54</v>
      </c>
      <c r="C11" s="2" t="s">
        <v>50</v>
      </c>
      <c r="D11" s="206" t="str">
        <f>IF(E11=X_axis_txt,"X", IF(E11=legend_txt,"S",""))</f>
        <v/>
      </c>
      <c r="E11" s="289" t="str">
        <f>'Upper and Lower Limits'!S8</f>
        <v>e-consult consultation duration</v>
      </c>
      <c r="F11" s="295">
        <f>'Upper and Lower Limits'!G8</f>
        <v>4</v>
      </c>
      <c r="G11" s="295">
        <f>'Upper and Lower Limits'!H8</f>
        <v>2</v>
      </c>
      <c r="H11" s="295">
        <f>'Upper and Lower Limits'!I8</f>
        <v>5</v>
      </c>
      <c r="I11" s="295">
        <f>$F11-(($F11-$G11)/2)</f>
        <v>3</v>
      </c>
      <c r="J11" s="295">
        <f>$F11+(($H11-$F11)/2)</f>
        <v>4.5</v>
      </c>
      <c r="K11" s="296">
        <f>(H11-G11)/10</f>
        <v>0.3</v>
      </c>
      <c r="L11" s="250">
        <f t="shared" si="4"/>
        <v>4</v>
      </c>
      <c r="M11" s="250">
        <f t="shared" si="4"/>
        <v>4</v>
      </c>
      <c r="N11" s="250">
        <f t="shared" si="4"/>
        <v>4</v>
      </c>
      <c r="O11" s="250">
        <f t="shared" si="4"/>
        <v>4</v>
      </c>
      <c r="P11" s="250">
        <f t="shared" si="4"/>
        <v>4</v>
      </c>
      <c r="Q11" s="250">
        <f t="shared" si="4"/>
        <v>4</v>
      </c>
      <c r="R11" s="250">
        <f t="shared" si="4"/>
        <v>4</v>
      </c>
      <c r="S11" s="250">
        <f t="shared" si="4"/>
        <v>4</v>
      </c>
      <c r="T11" s="250">
        <f t="shared" si="4"/>
        <v>4</v>
      </c>
      <c r="U11" s="250">
        <f t="shared" si="4"/>
        <v>4</v>
      </c>
      <c r="V11" s="251">
        <f t="shared" si="4"/>
        <v>4</v>
      </c>
      <c r="W11" s="252">
        <f t="shared" si="5"/>
        <v>4</v>
      </c>
      <c r="X11" s="250">
        <f t="shared" si="5"/>
        <v>4</v>
      </c>
      <c r="Y11" s="250">
        <f t="shared" si="5"/>
        <v>4</v>
      </c>
      <c r="Z11" s="250">
        <f t="shared" si="5"/>
        <v>4</v>
      </c>
      <c r="AA11" s="250">
        <f t="shared" si="5"/>
        <v>4</v>
      </c>
      <c r="AB11" s="250">
        <f t="shared" si="5"/>
        <v>4</v>
      </c>
      <c r="AC11" s="250">
        <f t="shared" si="5"/>
        <v>4</v>
      </c>
      <c r="AD11" s="250">
        <f t="shared" si="5"/>
        <v>4</v>
      </c>
      <c r="AE11" s="250">
        <f t="shared" si="5"/>
        <v>4</v>
      </c>
      <c r="AF11" s="250">
        <f t="shared" si="5"/>
        <v>4</v>
      </c>
      <c r="AG11" s="251">
        <f t="shared" si="5"/>
        <v>4</v>
      </c>
      <c r="AH11" s="252">
        <f t="shared" si="6"/>
        <v>4</v>
      </c>
      <c r="AI11" s="250">
        <f t="shared" si="6"/>
        <v>4</v>
      </c>
      <c r="AJ11" s="250">
        <f t="shared" si="6"/>
        <v>4</v>
      </c>
      <c r="AK11" s="250">
        <f t="shared" si="6"/>
        <v>4</v>
      </c>
      <c r="AL11" s="250">
        <f t="shared" si="6"/>
        <v>4</v>
      </c>
      <c r="AM11" s="250">
        <f t="shared" si="6"/>
        <v>4</v>
      </c>
      <c r="AN11" s="250">
        <f t="shared" si="6"/>
        <v>4</v>
      </c>
      <c r="AO11" s="250">
        <f t="shared" si="6"/>
        <v>4</v>
      </c>
      <c r="AP11" s="250">
        <f t="shared" si="6"/>
        <v>4</v>
      </c>
      <c r="AQ11" s="250">
        <f t="shared" si="6"/>
        <v>4</v>
      </c>
      <c r="AR11" s="251">
        <f t="shared" si="6"/>
        <v>4</v>
      </c>
      <c r="AS11" s="252">
        <f t="shared" si="7"/>
        <v>4</v>
      </c>
      <c r="AT11" s="250">
        <f t="shared" si="7"/>
        <v>4</v>
      </c>
      <c r="AU11" s="250">
        <f t="shared" si="7"/>
        <v>4</v>
      </c>
      <c r="AV11" s="250">
        <f t="shared" si="7"/>
        <v>4</v>
      </c>
      <c r="AW11" s="250">
        <f t="shared" si="7"/>
        <v>4</v>
      </c>
      <c r="AX11" s="250">
        <f t="shared" si="7"/>
        <v>4</v>
      </c>
      <c r="AY11" s="250">
        <f t="shared" si="7"/>
        <v>4</v>
      </c>
      <c r="AZ11" s="250">
        <f t="shared" si="7"/>
        <v>4</v>
      </c>
      <c r="BA11" s="250">
        <f t="shared" si="7"/>
        <v>4</v>
      </c>
      <c r="BB11" s="250">
        <f t="shared" si="7"/>
        <v>4</v>
      </c>
      <c r="BC11" s="251">
        <f t="shared" si="7"/>
        <v>4</v>
      </c>
      <c r="BD11" s="252">
        <f t="shared" si="8"/>
        <v>4</v>
      </c>
      <c r="BE11" s="250">
        <f t="shared" si="8"/>
        <v>4</v>
      </c>
      <c r="BF11" s="250">
        <f t="shared" si="8"/>
        <v>4</v>
      </c>
      <c r="BG11" s="250">
        <f t="shared" si="8"/>
        <v>4</v>
      </c>
      <c r="BH11" s="250">
        <f t="shared" si="8"/>
        <v>4</v>
      </c>
      <c r="BI11" s="250">
        <f t="shared" si="8"/>
        <v>4</v>
      </c>
      <c r="BJ11" s="250">
        <f t="shared" si="8"/>
        <v>4</v>
      </c>
      <c r="BK11" s="250">
        <f t="shared" si="8"/>
        <v>4</v>
      </c>
      <c r="BL11" s="250">
        <f t="shared" si="8"/>
        <v>4</v>
      </c>
      <c r="BM11" s="250">
        <f t="shared" si="8"/>
        <v>4</v>
      </c>
      <c r="BN11" s="375">
        <f t="shared" si="8"/>
        <v>4</v>
      </c>
      <c r="BO11" s="378">
        <f>IF($D11="X",F11,)</f>
        <v>0</v>
      </c>
      <c r="BP11" s="1"/>
      <c r="BQ11" s="1"/>
      <c r="BR11" s="1"/>
      <c r="BS11" s="1"/>
    </row>
    <row r="12" spans="1:71" s="2" customFormat="1" ht="15.75" customHeight="1" x14ac:dyDescent="0.3">
      <c r="A12" s="2" t="s">
        <v>101</v>
      </c>
      <c r="B12" s="2" t="s">
        <v>48</v>
      </c>
      <c r="C12" s="2" t="s">
        <v>49</v>
      </c>
      <c r="D12" s="207" t="str">
        <f t="shared" si="0"/>
        <v>S</v>
      </c>
      <c r="E12" s="297" t="str">
        <f>'Upper and Lower Limits'!S9</f>
        <v>e-consult supply-related demand</v>
      </c>
      <c r="F12" s="298">
        <f>'Upper and Lower Limits'!G9</f>
        <v>0.05</v>
      </c>
      <c r="G12" s="298">
        <f>'Upper and Lower Limits'!H9</f>
        <v>-0.1</v>
      </c>
      <c r="H12" s="298">
        <f>'Upper and Lower Limits'!I9</f>
        <v>0.2</v>
      </c>
      <c r="I12" s="298">
        <f t="shared" si="1"/>
        <v>-2.5000000000000008E-2</v>
      </c>
      <c r="J12" s="298">
        <f t="shared" si="2"/>
        <v>0.125</v>
      </c>
      <c r="K12" s="299">
        <f t="shared" si="3"/>
        <v>3.0000000000000006E-2</v>
      </c>
      <c r="L12" s="71">
        <f t="shared" si="4"/>
        <v>-0.1</v>
      </c>
      <c r="M12" s="71">
        <f t="shared" si="4"/>
        <v>-0.1</v>
      </c>
      <c r="N12" s="71">
        <f t="shared" si="4"/>
        <v>-0.1</v>
      </c>
      <c r="O12" s="71">
        <f t="shared" si="4"/>
        <v>-0.1</v>
      </c>
      <c r="P12" s="71">
        <f t="shared" si="4"/>
        <v>-0.1</v>
      </c>
      <c r="Q12" s="71">
        <f t="shared" si="4"/>
        <v>-0.1</v>
      </c>
      <c r="R12" s="71">
        <f t="shared" si="4"/>
        <v>-0.1</v>
      </c>
      <c r="S12" s="71">
        <f t="shared" si="4"/>
        <v>-0.1</v>
      </c>
      <c r="T12" s="71">
        <f t="shared" si="4"/>
        <v>-0.1</v>
      </c>
      <c r="U12" s="71">
        <f t="shared" si="4"/>
        <v>-0.1</v>
      </c>
      <c r="V12" s="76">
        <f t="shared" si="4"/>
        <v>-0.1</v>
      </c>
      <c r="W12" s="77">
        <f t="shared" si="5"/>
        <v>-2.5000000000000008E-2</v>
      </c>
      <c r="X12" s="71">
        <f t="shared" si="5"/>
        <v>-2.5000000000000008E-2</v>
      </c>
      <c r="Y12" s="71">
        <f t="shared" si="5"/>
        <v>-2.5000000000000008E-2</v>
      </c>
      <c r="Z12" s="71">
        <f t="shared" si="5"/>
        <v>-2.5000000000000008E-2</v>
      </c>
      <c r="AA12" s="71">
        <f t="shared" si="5"/>
        <v>-2.5000000000000008E-2</v>
      </c>
      <c r="AB12" s="71">
        <f t="shared" si="5"/>
        <v>-2.5000000000000008E-2</v>
      </c>
      <c r="AC12" s="71">
        <f t="shared" si="5"/>
        <v>-2.5000000000000008E-2</v>
      </c>
      <c r="AD12" s="71">
        <f t="shared" si="5"/>
        <v>-2.5000000000000008E-2</v>
      </c>
      <c r="AE12" s="71">
        <f t="shared" si="5"/>
        <v>-2.5000000000000008E-2</v>
      </c>
      <c r="AF12" s="71">
        <f t="shared" si="5"/>
        <v>-2.5000000000000008E-2</v>
      </c>
      <c r="AG12" s="76">
        <f t="shared" si="5"/>
        <v>-2.5000000000000008E-2</v>
      </c>
      <c r="AH12" s="77">
        <f t="shared" si="6"/>
        <v>0.05</v>
      </c>
      <c r="AI12" s="71">
        <f t="shared" si="6"/>
        <v>0.05</v>
      </c>
      <c r="AJ12" s="71">
        <f t="shared" si="6"/>
        <v>0.05</v>
      </c>
      <c r="AK12" s="71">
        <f t="shared" si="6"/>
        <v>0.05</v>
      </c>
      <c r="AL12" s="71">
        <f t="shared" si="6"/>
        <v>0.05</v>
      </c>
      <c r="AM12" s="71">
        <f t="shared" si="6"/>
        <v>0.05</v>
      </c>
      <c r="AN12" s="71">
        <f t="shared" si="6"/>
        <v>0.05</v>
      </c>
      <c r="AO12" s="71">
        <f t="shared" si="6"/>
        <v>0.05</v>
      </c>
      <c r="AP12" s="71">
        <f t="shared" si="6"/>
        <v>0.05</v>
      </c>
      <c r="AQ12" s="71">
        <f t="shared" si="6"/>
        <v>0.05</v>
      </c>
      <c r="AR12" s="76">
        <f t="shared" si="6"/>
        <v>0.05</v>
      </c>
      <c r="AS12" s="77">
        <f t="shared" si="7"/>
        <v>0.125</v>
      </c>
      <c r="AT12" s="71">
        <f t="shared" si="7"/>
        <v>0.125</v>
      </c>
      <c r="AU12" s="71">
        <f t="shared" si="7"/>
        <v>0.125</v>
      </c>
      <c r="AV12" s="71">
        <f t="shared" si="7"/>
        <v>0.125</v>
      </c>
      <c r="AW12" s="71">
        <f t="shared" si="7"/>
        <v>0.125</v>
      </c>
      <c r="AX12" s="71">
        <f t="shared" si="7"/>
        <v>0.125</v>
      </c>
      <c r="AY12" s="71">
        <f t="shared" si="7"/>
        <v>0.125</v>
      </c>
      <c r="AZ12" s="71">
        <f t="shared" si="7"/>
        <v>0.125</v>
      </c>
      <c r="BA12" s="71">
        <f t="shared" si="7"/>
        <v>0.125</v>
      </c>
      <c r="BB12" s="71">
        <f t="shared" si="7"/>
        <v>0.125</v>
      </c>
      <c r="BC12" s="76">
        <f t="shared" si="7"/>
        <v>0.125</v>
      </c>
      <c r="BD12" s="77">
        <f t="shared" si="8"/>
        <v>0.2</v>
      </c>
      <c r="BE12" s="71">
        <f t="shared" si="8"/>
        <v>0.2</v>
      </c>
      <c r="BF12" s="71">
        <f t="shared" si="8"/>
        <v>0.2</v>
      </c>
      <c r="BG12" s="71">
        <f t="shared" si="8"/>
        <v>0.2</v>
      </c>
      <c r="BH12" s="71">
        <f t="shared" si="8"/>
        <v>0.2</v>
      </c>
      <c r="BI12" s="71">
        <f t="shared" si="8"/>
        <v>0.2</v>
      </c>
      <c r="BJ12" s="71">
        <f t="shared" si="8"/>
        <v>0.2</v>
      </c>
      <c r="BK12" s="71">
        <f t="shared" si="8"/>
        <v>0.2</v>
      </c>
      <c r="BL12" s="71">
        <f t="shared" si="8"/>
        <v>0.2</v>
      </c>
      <c r="BM12" s="71">
        <f t="shared" si="8"/>
        <v>0.2</v>
      </c>
      <c r="BN12" s="329">
        <f t="shared" si="8"/>
        <v>0.2</v>
      </c>
      <c r="BO12" s="377">
        <f t="shared" si="9"/>
        <v>0</v>
      </c>
      <c r="BP12" s="1"/>
      <c r="BQ12" s="1"/>
      <c r="BR12" s="1"/>
      <c r="BS12" s="1"/>
    </row>
    <row r="13" spans="1:71" ht="15.75" customHeight="1" x14ac:dyDescent="0.3">
      <c r="A13" s="1" t="s">
        <v>18</v>
      </c>
      <c r="B13" s="16" t="s">
        <v>43</v>
      </c>
      <c r="C13" s="2" t="s">
        <v>49</v>
      </c>
      <c r="D13" s="97" t="str">
        <f t="shared" si="0"/>
        <v/>
      </c>
      <c r="E13" s="300" t="str">
        <f>'Upper and Lower Limits'!F5</f>
        <v>Tel/video Access Rate</v>
      </c>
      <c r="F13" s="287">
        <f>'Upper and Lower Limits'!T5</f>
        <v>1</v>
      </c>
      <c r="G13" s="287">
        <f>'Upper and Lower Limits'!U5</f>
        <v>1E-4</v>
      </c>
      <c r="H13" s="287">
        <f>'Upper and Lower Limits'!V5</f>
        <v>1</v>
      </c>
      <c r="I13" s="287">
        <f t="shared" si="1"/>
        <v>0.50004999999999999</v>
      </c>
      <c r="J13" s="287">
        <f t="shared" si="2"/>
        <v>1</v>
      </c>
      <c r="K13" s="288">
        <f t="shared" si="3"/>
        <v>9.9989999999999996E-2</v>
      </c>
      <c r="L13" s="71">
        <f t="shared" si="4"/>
        <v>1</v>
      </c>
      <c r="M13" s="71">
        <f t="shared" si="4"/>
        <v>1</v>
      </c>
      <c r="N13" s="71">
        <f t="shared" si="4"/>
        <v>1</v>
      </c>
      <c r="O13" s="71">
        <f t="shared" si="4"/>
        <v>1</v>
      </c>
      <c r="P13" s="71">
        <f t="shared" si="4"/>
        <v>1</v>
      </c>
      <c r="Q13" s="71">
        <f t="shared" si="4"/>
        <v>1</v>
      </c>
      <c r="R13" s="71">
        <f t="shared" si="4"/>
        <v>1</v>
      </c>
      <c r="S13" s="71">
        <f t="shared" si="4"/>
        <v>1</v>
      </c>
      <c r="T13" s="71">
        <f t="shared" si="4"/>
        <v>1</v>
      </c>
      <c r="U13" s="71">
        <f t="shared" si="4"/>
        <v>1</v>
      </c>
      <c r="V13" s="76">
        <f t="shared" si="4"/>
        <v>1</v>
      </c>
      <c r="W13" s="77">
        <f t="shared" si="5"/>
        <v>1</v>
      </c>
      <c r="X13" s="71">
        <f t="shared" si="5"/>
        <v>1</v>
      </c>
      <c r="Y13" s="71">
        <f t="shared" si="5"/>
        <v>1</v>
      </c>
      <c r="Z13" s="71">
        <f t="shared" si="5"/>
        <v>1</v>
      </c>
      <c r="AA13" s="71">
        <f t="shared" si="5"/>
        <v>1</v>
      </c>
      <c r="AB13" s="71">
        <f t="shared" si="5"/>
        <v>1</v>
      </c>
      <c r="AC13" s="71">
        <f t="shared" si="5"/>
        <v>1</v>
      </c>
      <c r="AD13" s="71">
        <f t="shared" si="5"/>
        <v>1</v>
      </c>
      <c r="AE13" s="71">
        <f t="shared" si="5"/>
        <v>1</v>
      </c>
      <c r="AF13" s="71">
        <f t="shared" si="5"/>
        <v>1</v>
      </c>
      <c r="AG13" s="76">
        <f t="shared" si="5"/>
        <v>1</v>
      </c>
      <c r="AH13" s="77">
        <f t="shared" si="6"/>
        <v>1</v>
      </c>
      <c r="AI13" s="71">
        <f t="shared" si="6"/>
        <v>1</v>
      </c>
      <c r="AJ13" s="71">
        <f t="shared" si="6"/>
        <v>1</v>
      </c>
      <c r="AK13" s="71">
        <f t="shared" si="6"/>
        <v>1</v>
      </c>
      <c r="AL13" s="71">
        <f t="shared" si="6"/>
        <v>1</v>
      </c>
      <c r="AM13" s="71">
        <f t="shared" si="6"/>
        <v>1</v>
      </c>
      <c r="AN13" s="71">
        <f t="shared" si="6"/>
        <v>1</v>
      </c>
      <c r="AO13" s="71">
        <f t="shared" si="6"/>
        <v>1</v>
      </c>
      <c r="AP13" s="71">
        <f t="shared" si="6"/>
        <v>1</v>
      </c>
      <c r="AQ13" s="71">
        <f t="shared" si="6"/>
        <v>1</v>
      </c>
      <c r="AR13" s="76">
        <f t="shared" si="6"/>
        <v>1</v>
      </c>
      <c r="AS13" s="77">
        <f t="shared" si="7"/>
        <v>1</v>
      </c>
      <c r="AT13" s="71">
        <f t="shared" si="7"/>
        <v>1</v>
      </c>
      <c r="AU13" s="71">
        <f t="shared" si="7"/>
        <v>1</v>
      </c>
      <c r="AV13" s="71">
        <f t="shared" si="7"/>
        <v>1</v>
      </c>
      <c r="AW13" s="71">
        <f t="shared" si="7"/>
        <v>1</v>
      </c>
      <c r="AX13" s="71">
        <f t="shared" si="7"/>
        <v>1</v>
      </c>
      <c r="AY13" s="71">
        <f t="shared" si="7"/>
        <v>1</v>
      </c>
      <c r="AZ13" s="71">
        <f t="shared" si="7"/>
        <v>1</v>
      </c>
      <c r="BA13" s="71">
        <f t="shared" si="7"/>
        <v>1</v>
      </c>
      <c r="BB13" s="71">
        <f t="shared" si="7"/>
        <v>1</v>
      </c>
      <c r="BC13" s="76">
        <f t="shared" si="7"/>
        <v>1</v>
      </c>
      <c r="BD13" s="77">
        <f t="shared" si="8"/>
        <v>1</v>
      </c>
      <c r="BE13" s="71">
        <f t="shared" si="8"/>
        <v>1</v>
      </c>
      <c r="BF13" s="71">
        <f t="shared" si="8"/>
        <v>1</v>
      </c>
      <c r="BG13" s="71">
        <f t="shared" si="8"/>
        <v>1</v>
      </c>
      <c r="BH13" s="71">
        <f t="shared" si="8"/>
        <v>1</v>
      </c>
      <c r="BI13" s="71">
        <f t="shared" si="8"/>
        <v>1</v>
      </c>
      <c r="BJ13" s="71">
        <f t="shared" si="8"/>
        <v>1</v>
      </c>
      <c r="BK13" s="71">
        <f t="shared" si="8"/>
        <v>1</v>
      </c>
      <c r="BL13" s="71">
        <f t="shared" si="8"/>
        <v>1</v>
      </c>
      <c r="BM13" s="71">
        <f t="shared" si="8"/>
        <v>1</v>
      </c>
      <c r="BN13" s="329">
        <f t="shared" si="8"/>
        <v>1</v>
      </c>
      <c r="BO13" s="377">
        <f t="shared" si="9"/>
        <v>0</v>
      </c>
    </row>
    <row r="14" spans="1:71" ht="15.75" customHeight="1" x14ac:dyDescent="0.3">
      <c r="A14" s="1" t="s">
        <v>20</v>
      </c>
      <c r="B14" s="16" t="s">
        <v>45</v>
      </c>
      <c r="C14" s="2" t="s">
        <v>49</v>
      </c>
      <c r="D14" s="206" t="str">
        <f t="shared" si="0"/>
        <v/>
      </c>
      <c r="E14" s="301" t="str">
        <f>'Upper and Lower Limits'!F6</f>
        <v>Tel/video Completion Rate</v>
      </c>
      <c r="F14" s="291">
        <f>'Upper and Lower Limits'!T6</f>
        <v>0.8</v>
      </c>
      <c r="G14" s="291">
        <f>'Upper and Lower Limits'!U6</f>
        <v>0.1</v>
      </c>
      <c r="H14" s="291">
        <f>'Upper and Lower Limits'!V6</f>
        <v>0.9</v>
      </c>
      <c r="I14" s="291">
        <f t="shared" si="1"/>
        <v>0.45</v>
      </c>
      <c r="J14" s="291">
        <f t="shared" si="2"/>
        <v>0.85000000000000009</v>
      </c>
      <c r="K14" s="292">
        <f t="shared" si="3"/>
        <v>0.08</v>
      </c>
      <c r="L14" s="71">
        <f t="shared" si="4"/>
        <v>0.8</v>
      </c>
      <c r="M14" s="71">
        <f t="shared" si="4"/>
        <v>0.8</v>
      </c>
      <c r="N14" s="71">
        <f t="shared" si="4"/>
        <v>0.8</v>
      </c>
      <c r="O14" s="71">
        <f t="shared" si="4"/>
        <v>0.8</v>
      </c>
      <c r="P14" s="71">
        <f t="shared" si="4"/>
        <v>0.8</v>
      </c>
      <c r="Q14" s="71">
        <f t="shared" si="4"/>
        <v>0.8</v>
      </c>
      <c r="R14" s="71">
        <f t="shared" si="4"/>
        <v>0.8</v>
      </c>
      <c r="S14" s="71">
        <f t="shared" si="4"/>
        <v>0.8</v>
      </c>
      <c r="T14" s="71">
        <f t="shared" si="4"/>
        <v>0.8</v>
      </c>
      <c r="U14" s="71">
        <f t="shared" si="4"/>
        <v>0.8</v>
      </c>
      <c r="V14" s="76">
        <f t="shared" si="4"/>
        <v>0.8</v>
      </c>
      <c r="W14" s="77">
        <f t="shared" si="5"/>
        <v>0.8</v>
      </c>
      <c r="X14" s="71">
        <f t="shared" si="5"/>
        <v>0.8</v>
      </c>
      <c r="Y14" s="71">
        <f t="shared" si="5"/>
        <v>0.8</v>
      </c>
      <c r="Z14" s="71">
        <f t="shared" si="5"/>
        <v>0.8</v>
      </c>
      <c r="AA14" s="71">
        <f t="shared" si="5"/>
        <v>0.8</v>
      </c>
      <c r="AB14" s="71">
        <f t="shared" si="5"/>
        <v>0.8</v>
      </c>
      <c r="AC14" s="71">
        <f t="shared" si="5"/>
        <v>0.8</v>
      </c>
      <c r="AD14" s="71">
        <f t="shared" si="5"/>
        <v>0.8</v>
      </c>
      <c r="AE14" s="71">
        <f t="shared" si="5"/>
        <v>0.8</v>
      </c>
      <c r="AF14" s="71">
        <f t="shared" si="5"/>
        <v>0.8</v>
      </c>
      <c r="AG14" s="76">
        <f t="shared" si="5"/>
        <v>0.8</v>
      </c>
      <c r="AH14" s="77">
        <f t="shared" si="6"/>
        <v>0.8</v>
      </c>
      <c r="AI14" s="71">
        <f t="shared" si="6"/>
        <v>0.8</v>
      </c>
      <c r="AJ14" s="71">
        <f t="shared" si="6"/>
        <v>0.8</v>
      </c>
      <c r="AK14" s="71">
        <f t="shared" si="6"/>
        <v>0.8</v>
      </c>
      <c r="AL14" s="71">
        <f t="shared" si="6"/>
        <v>0.8</v>
      </c>
      <c r="AM14" s="71">
        <f t="shared" si="6"/>
        <v>0.8</v>
      </c>
      <c r="AN14" s="71">
        <f t="shared" si="6"/>
        <v>0.8</v>
      </c>
      <c r="AO14" s="71">
        <f t="shared" si="6"/>
        <v>0.8</v>
      </c>
      <c r="AP14" s="71">
        <f t="shared" si="6"/>
        <v>0.8</v>
      </c>
      <c r="AQ14" s="71">
        <f t="shared" si="6"/>
        <v>0.8</v>
      </c>
      <c r="AR14" s="76">
        <f t="shared" si="6"/>
        <v>0.8</v>
      </c>
      <c r="AS14" s="77">
        <f t="shared" si="7"/>
        <v>0.8</v>
      </c>
      <c r="AT14" s="71">
        <f t="shared" si="7"/>
        <v>0.8</v>
      </c>
      <c r="AU14" s="71">
        <f t="shared" si="7"/>
        <v>0.8</v>
      </c>
      <c r="AV14" s="71">
        <f t="shared" si="7"/>
        <v>0.8</v>
      </c>
      <c r="AW14" s="71">
        <f t="shared" si="7"/>
        <v>0.8</v>
      </c>
      <c r="AX14" s="71">
        <f t="shared" si="7"/>
        <v>0.8</v>
      </c>
      <c r="AY14" s="71">
        <f t="shared" si="7"/>
        <v>0.8</v>
      </c>
      <c r="AZ14" s="71">
        <f t="shared" si="7"/>
        <v>0.8</v>
      </c>
      <c r="BA14" s="71">
        <f t="shared" si="7"/>
        <v>0.8</v>
      </c>
      <c r="BB14" s="71">
        <f t="shared" si="7"/>
        <v>0.8</v>
      </c>
      <c r="BC14" s="76">
        <f t="shared" si="7"/>
        <v>0.8</v>
      </c>
      <c r="BD14" s="77">
        <f t="shared" si="8"/>
        <v>0.8</v>
      </c>
      <c r="BE14" s="71">
        <f t="shared" si="8"/>
        <v>0.8</v>
      </c>
      <c r="BF14" s="71">
        <f t="shared" si="8"/>
        <v>0.8</v>
      </c>
      <c r="BG14" s="71">
        <f t="shared" si="8"/>
        <v>0.8</v>
      </c>
      <c r="BH14" s="71">
        <f t="shared" si="8"/>
        <v>0.8</v>
      </c>
      <c r="BI14" s="71">
        <f t="shared" si="8"/>
        <v>0.8</v>
      </c>
      <c r="BJ14" s="71">
        <f t="shared" si="8"/>
        <v>0.8</v>
      </c>
      <c r="BK14" s="71">
        <f t="shared" si="8"/>
        <v>0.8</v>
      </c>
      <c r="BL14" s="71">
        <f t="shared" si="8"/>
        <v>0.8</v>
      </c>
      <c r="BM14" s="71">
        <f t="shared" si="8"/>
        <v>0.8</v>
      </c>
      <c r="BN14" s="329">
        <f t="shared" si="8"/>
        <v>0.8</v>
      </c>
      <c r="BO14" s="377">
        <f t="shared" si="9"/>
        <v>0</v>
      </c>
    </row>
    <row r="15" spans="1:71" ht="15.75" customHeight="1" x14ac:dyDescent="0.3">
      <c r="A15" s="1" t="s">
        <v>19</v>
      </c>
      <c r="B15" s="2" t="s">
        <v>44</v>
      </c>
      <c r="C15" s="2" t="s">
        <v>50</v>
      </c>
      <c r="D15" s="206" t="str">
        <f>IF(E15=X_axis_txt,"X", IF(E15=legend_txt,"S",""))</f>
        <v/>
      </c>
      <c r="E15" s="301" t="str">
        <f>'Upper and Lower Limits'!F8</f>
        <v>Tel/video Consultation Duration</v>
      </c>
      <c r="F15" s="302">
        <f>'Upper and Lower Limits'!T8</f>
        <v>5</v>
      </c>
      <c r="G15" s="302">
        <f>'Upper and Lower Limits'!U8</f>
        <v>4</v>
      </c>
      <c r="H15" s="302">
        <f>'Upper and Lower Limits'!V8</f>
        <v>6</v>
      </c>
      <c r="I15" s="302">
        <f>$F15-(($F15-$G15)/2)</f>
        <v>4.5</v>
      </c>
      <c r="J15" s="302">
        <f>$F15+(($H15-$F15)/2)</f>
        <v>5.5</v>
      </c>
      <c r="K15" s="303">
        <f>(H15-G15)/10</f>
        <v>0.2</v>
      </c>
      <c r="L15" s="250">
        <f t="shared" si="4"/>
        <v>5</v>
      </c>
      <c r="M15" s="250">
        <f t="shared" si="4"/>
        <v>5</v>
      </c>
      <c r="N15" s="250">
        <f t="shared" si="4"/>
        <v>5</v>
      </c>
      <c r="O15" s="250">
        <f t="shared" si="4"/>
        <v>5</v>
      </c>
      <c r="P15" s="250">
        <f t="shared" si="4"/>
        <v>5</v>
      </c>
      <c r="Q15" s="250">
        <f t="shared" si="4"/>
        <v>5</v>
      </c>
      <c r="R15" s="250">
        <f t="shared" si="4"/>
        <v>5</v>
      </c>
      <c r="S15" s="250">
        <f t="shared" si="4"/>
        <v>5</v>
      </c>
      <c r="T15" s="250">
        <f t="shared" si="4"/>
        <v>5</v>
      </c>
      <c r="U15" s="250">
        <f t="shared" si="4"/>
        <v>5</v>
      </c>
      <c r="V15" s="251">
        <f t="shared" si="4"/>
        <v>5</v>
      </c>
      <c r="W15" s="252">
        <f t="shared" si="5"/>
        <v>5</v>
      </c>
      <c r="X15" s="250">
        <f t="shared" si="5"/>
        <v>5</v>
      </c>
      <c r="Y15" s="250">
        <f t="shared" si="5"/>
        <v>5</v>
      </c>
      <c r="Z15" s="250">
        <f t="shared" si="5"/>
        <v>5</v>
      </c>
      <c r="AA15" s="250">
        <f t="shared" si="5"/>
        <v>5</v>
      </c>
      <c r="AB15" s="250">
        <f t="shared" si="5"/>
        <v>5</v>
      </c>
      <c r="AC15" s="250">
        <f t="shared" si="5"/>
        <v>5</v>
      </c>
      <c r="AD15" s="250">
        <f t="shared" si="5"/>
        <v>5</v>
      </c>
      <c r="AE15" s="250">
        <f t="shared" si="5"/>
        <v>5</v>
      </c>
      <c r="AF15" s="250">
        <f t="shared" si="5"/>
        <v>5</v>
      </c>
      <c r="AG15" s="251">
        <f t="shared" si="5"/>
        <v>5</v>
      </c>
      <c r="AH15" s="252">
        <f t="shared" si="6"/>
        <v>5</v>
      </c>
      <c r="AI15" s="250">
        <f t="shared" si="6"/>
        <v>5</v>
      </c>
      <c r="AJ15" s="250">
        <f t="shared" si="6"/>
        <v>5</v>
      </c>
      <c r="AK15" s="250">
        <f t="shared" si="6"/>
        <v>5</v>
      </c>
      <c r="AL15" s="250">
        <f t="shared" si="6"/>
        <v>5</v>
      </c>
      <c r="AM15" s="250">
        <f t="shared" si="6"/>
        <v>5</v>
      </c>
      <c r="AN15" s="250">
        <f t="shared" si="6"/>
        <v>5</v>
      </c>
      <c r="AO15" s="250">
        <f t="shared" si="6"/>
        <v>5</v>
      </c>
      <c r="AP15" s="250">
        <f t="shared" si="6"/>
        <v>5</v>
      </c>
      <c r="AQ15" s="250">
        <f t="shared" si="6"/>
        <v>5</v>
      </c>
      <c r="AR15" s="251">
        <f t="shared" si="6"/>
        <v>5</v>
      </c>
      <c r="AS15" s="252">
        <f t="shared" si="7"/>
        <v>5</v>
      </c>
      <c r="AT15" s="250">
        <f t="shared" si="7"/>
        <v>5</v>
      </c>
      <c r="AU15" s="250">
        <f t="shared" si="7"/>
        <v>5</v>
      </c>
      <c r="AV15" s="250">
        <f t="shared" si="7"/>
        <v>5</v>
      </c>
      <c r="AW15" s="250">
        <f t="shared" si="7"/>
        <v>5</v>
      </c>
      <c r="AX15" s="250">
        <f t="shared" si="7"/>
        <v>5</v>
      </c>
      <c r="AY15" s="250">
        <f t="shared" si="7"/>
        <v>5</v>
      </c>
      <c r="AZ15" s="250">
        <f t="shared" si="7"/>
        <v>5</v>
      </c>
      <c r="BA15" s="250">
        <f t="shared" si="7"/>
        <v>5</v>
      </c>
      <c r="BB15" s="250">
        <f t="shared" si="7"/>
        <v>5</v>
      </c>
      <c r="BC15" s="251">
        <f t="shared" si="7"/>
        <v>5</v>
      </c>
      <c r="BD15" s="252">
        <f t="shared" si="8"/>
        <v>5</v>
      </c>
      <c r="BE15" s="250">
        <f t="shared" si="8"/>
        <v>5</v>
      </c>
      <c r="BF15" s="250">
        <f t="shared" si="8"/>
        <v>5</v>
      </c>
      <c r="BG15" s="250">
        <f t="shared" si="8"/>
        <v>5</v>
      </c>
      <c r="BH15" s="250">
        <f t="shared" si="8"/>
        <v>5</v>
      </c>
      <c r="BI15" s="250">
        <f t="shared" si="8"/>
        <v>5</v>
      </c>
      <c r="BJ15" s="250">
        <f t="shared" si="8"/>
        <v>5</v>
      </c>
      <c r="BK15" s="250">
        <f t="shared" si="8"/>
        <v>5</v>
      </c>
      <c r="BL15" s="250">
        <f t="shared" si="8"/>
        <v>5</v>
      </c>
      <c r="BM15" s="250">
        <f t="shared" si="8"/>
        <v>5</v>
      </c>
      <c r="BN15" s="375">
        <f t="shared" si="8"/>
        <v>5</v>
      </c>
      <c r="BO15" s="378">
        <f>IF($D15="X",F15,)</f>
        <v>0</v>
      </c>
    </row>
    <row r="16" spans="1:71" ht="15.75" customHeight="1" x14ac:dyDescent="0.3">
      <c r="A16" s="1" t="s">
        <v>102</v>
      </c>
      <c r="B16" s="18" t="s">
        <v>53</v>
      </c>
      <c r="C16" s="2" t="s">
        <v>49</v>
      </c>
      <c r="D16" s="206" t="str">
        <f t="shared" si="0"/>
        <v/>
      </c>
      <c r="E16" s="301" t="str">
        <f>'Upper and Lower Limits'!F9</f>
        <v>Tel/video Supply-related demand</v>
      </c>
      <c r="F16" s="291">
        <f>'Upper and Lower Limits'!T9</f>
        <v>0</v>
      </c>
      <c r="G16" s="291">
        <f>'Upper and Lower Limits'!U9</f>
        <v>-0.1</v>
      </c>
      <c r="H16" s="291">
        <f>'Upper and Lower Limits'!V9</f>
        <v>0.2</v>
      </c>
      <c r="I16" s="291">
        <f t="shared" si="1"/>
        <v>-0.05</v>
      </c>
      <c r="J16" s="291">
        <f t="shared" si="2"/>
        <v>0.1</v>
      </c>
      <c r="K16" s="292">
        <f t="shared" si="3"/>
        <v>3.0000000000000006E-2</v>
      </c>
      <c r="L16" s="71">
        <f t="shared" si="4"/>
        <v>0</v>
      </c>
      <c r="M16" s="71">
        <f t="shared" si="4"/>
        <v>0</v>
      </c>
      <c r="N16" s="71">
        <f t="shared" si="4"/>
        <v>0</v>
      </c>
      <c r="O16" s="71">
        <f t="shared" si="4"/>
        <v>0</v>
      </c>
      <c r="P16" s="71">
        <f t="shared" si="4"/>
        <v>0</v>
      </c>
      <c r="Q16" s="71">
        <f t="shared" si="4"/>
        <v>0</v>
      </c>
      <c r="R16" s="71">
        <f t="shared" si="4"/>
        <v>0</v>
      </c>
      <c r="S16" s="71">
        <f t="shared" si="4"/>
        <v>0</v>
      </c>
      <c r="T16" s="71">
        <f t="shared" si="4"/>
        <v>0</v>
      </c>
      <c r="U16" s="71">
        <f t="shared" si="4"/>
        <v>0</v>
      </c>
      <c r="V16" s="76">
        <f t="shared" si="4"/>
        <v>0</v>
      </c>
      <c r="W16" s="77">
        <f t="shared" si="5"/>
        <v>0</v>
      </c>
      <c r="X16" s="71">
        <f t="shared" si="5"/>
        <v>0</v>
      </c>
      <c r="Y16" s="71">
        <f t="shared" si="5"/>
        <v>0</v>
      </c>
      <c r="Z16" s="71">
        <f t="shared" si="5"/>
        <v>0</v>
      </c>
      <c r="AA16" s="71">
        <f t="shared" si="5"/>
        <v>0</v>
      </c>
      <c r="AB16" s="71">
        <f t="shared" si="5"/>
        <v>0</v>
      </c>
      <c r="AC16" s="71">
        <f t="shared" si="5"/>
        <v>0</v>
      </c>
      <c r="AD16" s="71">
        <f t="shared" si="5"/>
        <v>0</v>
      </c>
      <c r="AE16" s="71">
        <f t="shared" si="5"/>
        <v>0</v>
      </c>
      <c r="AF16" s="71">
        <f t="shared" si="5"/>
        <v>0</v>
      </c>
      <c r="AG16" s="76">
        <f t="shared" si="5"/>
        <v>0</v>
      </c>
      <c r="AH16" s="77">
        <f t="shared" si="6"/>
        <v>0</v>
      </c>
      <c r="AI16" s="71">
        <f t="shared" si="6"/>
        <v>0</v>
      </c>
      <c r="AJ16" s="71">
        <f t="shared" si="6"/>
        <v>0</v>
      </c>
      <c r="AK16" s="71">
        <f t="shared" si="6"/>
        <v>0</v>
      </c>
      <c r="AL16" s="71">
        <f t="shared" si="6"/>
        <v>0</v>
      </c>
      <c r="AM16" s="71">
        <f t="shared" si="6"/>
        <v>0</v>
      </c>
      <c r="AN16" s="71">
        <f t="shared" si="6"/>
        <v>0</v>
      </c>
      <c r="AO16" s="71">
        <f t="shared" si="6"/>
        <v>0</v>
      </c>
      <c r="AP16" s="71">
        <f t="shared" si="6"/>
        <v>0</v>
      </c>
      <c r="AQ16" s="71">
        <f t="shared" si="6"/>
        <v>0</v>
      </c>
      <c r="AR16" s="76">
        <f t="shared" si="6"/>
        <v>0</v>
      </c>
      <c r="AS16" s="77">
        <f t="shared" si="7"/>
        <v>0</v>
      </c>
      <c r="AT16" s="71">
        <f t="shared" si="7"/>
        <v>0</v>
      </c>
      <c r="AU16" s="71">
        <f t="shared" si="7"/>
        <v>0</v>
      </c>
      <c r="AV16" s="71">
        <f t="shared" si="7"/>
        <v>0</v>
      </c>
      <c r="AW16" s="71">
        <f t="shared" si="7"/>
        <v>0</v>
      </c>
      <c r="AX16" s="71">
        <f t="shared" si="7"/>
        <v>0</v>
      </c>
      <c r="AY16" s="71">
        <f t="shared" si="7"/>
        <v>0</v>
      </c>
      <c r="AZ16" s="71">
        <f t="shared" si="7"/>
        <v>0</v>
      </c>
      <c r="BA16" s="71">
        <f t="shared" si="7"/>
        <v>0</v>
      </c>
      <c r="BB16" s="71">
        <f t="shared" si="7"/>
        <v>0</v>
      </c>
      <c r="BC16" s="76">
        <f t="shared" si="7"/>
        <v>0</v>
      </c>
      <c r="BD16" s="77">
        <f t="shared" si="8"/>
        <v>0</v>
      </c>
      <c r="BE16" s="71">
        <f t="shared" si="8"/>
        <v>0</v>
      </c>
      <c r="BF16" s="71">
        <f t="shared" si="8"/>
        <v>0</v>
      </c>
      <c r="BG16" s="71">
        <f t="shared" si="8"/>
        <v>0</v>
      </c>
      <c r="BH16" s="71">
        <f t="shared" si="8"/>
        <v>0</v>
      </c>
      <c r="BI16" s="71">
        <f t="shared" si="8"/>
        <v>0</v>
      </c>
      <c r="BJ16" s="71">
        <f t="shared" si="8"/>
        <v>0</v>
      </c>
      <c r="BK16" s="71">
        <f t="shared" si="8"/>
        <v>0</v>
      </c>
      <c r="BL16" s="71">
        <f t="shared" si="8"/>
        <v>0</v>
      </c>
      <c r="BM16" s="71">
        <f t="shared" si="8"/>
        <v>0</v>
      </c>
      <c r="BN16" s="329">
        <f t="shared" si="8"/>
        <v>0</v>
      </c>
      <c r="BO16" s="377">
        <f t="shared" si="9"/>
        <v>0</v>
      </c>
    </row>
    <row r="17" spans="1:77" ht="15.75" customHeight="1" x14ac:dyDescent="0.3">
      <c r="A17" s="1" t="s">
        <v>59</v>
      </c>
      <c r="B17" s="2" t="s">
        <v>46</v>
      </c>
      <c r="C17" s="2" t="s">
        <v>50</v>
      </c>
      <c r="D17" s="210" t="str">
        <f t="shared" si="0"/>
        <v/>
      </c>
      <c r="E17" s="304" t="str">
        <f>'Upper and Lower Limits'!D10</f>
        <v>GP F2F time</v>
      </c>
      <c r="F17" s="305">
        <f>'Upper and Lower Limits'!T10</f>
        <v>9</v>
      </c>
      <c r="G17" s="305">
        <f>'Upper and Lower Limits'!U10</f>
        <v>9</v>
      </c>
      <c r="H17" s="305">
        <f>'Upper and Lower Limits'!V10</f>
        <v>9</v>
      </c>
      <c r="I17" s="305">
        <f t="shared" si="1"/>
        <v>9</v>
      </c>
      <c r="J17" s="305">
        <f t="shared" si="2"/>
        <v>9</v>
      </c>
      <c r="K17" s="306">
        <f t="shared" si="3"/>
        <v>0</v>
      </c>
      <c r="L17" s="250">
        <f t="shared" si="4"/>
        <v>9</v>
      </c>
      <c r="M17" s="250">
        <f t="shared" si="4"/>
        <v>9</v>
      </c>
      <c r="N17" s="250">
        <f t="shared" si="4"/>
        <v>9</v>
      </c>
      <c r="O17" s="250">
        <f t="shared" si="4"/>
        <v>9</v>
      </c>
      <c r="P17" s="250">
        <f t="shared" si="4"/>
        <v>9</v>
      </c>
      <c r="Q17" s="250">
        <f t="shared" si="4"/>
        <v>9</v>
      </c>
      <c r="R17" s="250">
        <f t="shared" si="4"/>
        <v>9</v>
      </c>
      <c r="S17" s="250">
        <f t="shared" si="4"/>
        <v>9</v>
      </c>
      <c r="T17" s="250">
        <f t="shared" si="4"/>
        <v>9</v>
      </c>
      <c r="U17" s="250">
        <f t="shared" si="4"/>
        <v>9</v>
      </c>
      <c r="V17" s="251">
        <f t="shared" si="4"/>
        <v>9</v>
      </c>
      <c r="W17" s="252">
        <f t="shared" si="5"/>
        <v>9</v>
      </c>
      <c r="X17" s="250">
        <f t="shared" si="5"/>
        <v>9</v>
      </c>
      <c r="Y17" s="250">
        <f t="shared" si="5"/>
        <v>9</v>
      </c>
      <c r="Z17" s="250">
        <f t="shared" si="5"/>
        <v>9</v>
      </c>
      <c r="AA17" s="250">
        <f t="shared" si="5"/>
        <v>9</v>
      </c>
      <c r="AB17" s="250">
        <f t="shared" si="5"/>
        <v>9</v>
      </c>
      <c r="AC17" s="250">
        <f t="shared" si="5"/>
        <v>9</v>
      </c>
      <c r="AD17" s="250">
        <f t="shared" si="5"/>
        <v>9</v>
      </c>
      <c r="AE17" s="250">
        <f t="shared" si="5"/>
        <v>9</v>
      </c>
      <c r="AF17" s="250">
        <f t="shared" si="5"/>
        <v>9</v>
      </c>
      <c r="AG17" s="251">
        <f t="shared" si="5"/>
        <v>9</v>
      </c>
      <c r="AH17" s="252">
        <f t="shared" si="6"/>
        <v>9</v>
      </c>
      <c r="AI17" s="250">
        <f t="shared" si="6"/>
        <v>9</v>
      </c>
      <c r="AJ17" s="250">
        <f t="shared" si="6"/>
        <v>9</v>
      </c>
      <c r="AK17" s="250">
        <f t="shared" si="6"/>
        <v>9</v>
      </c>
      <c r="AL17" s="250">
        <f t="shared" si="6"/>
        <v>9</v>
      </c>
      <c r="AM17" s="250">
        <f t="shared" si="6"/>
        <v>9</v>
      </c>
      <c r="AN17" s="250">
        <f t="shared" si="6"/>
        <v>9</v>
      </c>
      <c r="AO17" s="250">
        <f t="shared" si="6"/>
        <v>9</v>
      </c>
      <c r="AP17" s="250">
        <f t="shared" si="6"/>
        <v>9</v>
      </c>
      <c r="AQ17" s="250">
        <f t="shared" si="6"/>
        <v>9</v>
      </c>
      <c r="AR17" s="251">
        <f t="shared" si="6"/>
        <v>9</v>
      </c>
      <c r="AS17" s="252">
        <f t="shared" si="7"/>
        <v>9</v>
      </c>
      <c r="AT17" s="250">
        <f t="shared" si="7"/>
        <v>9</v>
      </c>
      <c r="AU17" s="250">
        <f t="shared" si="7"/>
        <v>9</v>
      </c>
      <c r="AV17" s="250">
        <f t="shared" si="7"/>
        <v>9</v>
      </c>
      <c r="AW17" s="250">
        <f t="shared" si="7"/>
        <v>9</v>
      </c>
      <c r="AX17" s="250">
        <f t="shared" si="7"/>
        <v>9</v>
      </c>
      <c r="AY17" s="250">
        <f t="shared" si="7"/>
        <v>9</v>
      </c>
      <c r="AZ17" s="250">
        <f t="shared" si="7"/>
        <v>9</v>
      </c>
      <c r="BA17" s="250">
        <f t="shared" si="7"/>
        <v>9</v>
      </c>
      <c r="BB17" s="250">
        <f t="shared" si="7"/>
        <v>9</v>
      </c>
      <c r="BC17" s="251">
        <f t="shared" si="7"/>
        <v>9</v>
      </c>
      <c r="BD17" s="252">
        <f t="shared" si="8"/>
        <v>9</v>
      </c>
      <c r="BE17" s="250">
        <f t="shared" si="8"/>
        <v>9</v>
      </c>
      <c r="BF17" s="250">
        <f t="shared" si="8"/>
        <v>9</v>
      </c>
      <c r="BG17" s="250">
        <f t="shared" si="8"/>
        <v>9</v>
      </c>
      <c r="BH17" s="250">
        <f t="shared" si="8"/>
        <v>9</v>
      </c>
      <c r="BI17" s="250">
        <f t="shared" si="8"/>
        <v>9</v>
      </c>
      <c r="BJ17" s="250">
        <f t="shared" si="8"/>
        <v>9</v>
      </c>
      <c r="BK17" s="250">
        <f t="shared" si="8"/>
        <v>9</v>
      </c>
      <c r="BL17" s="250">
        <f t="shared" si="8"/>
        <v>9</v>
      </c>
      <c r="BM17" s="250">
        <f t="shared" si="8"/>
        <v>9</v>
      </c>
      <c r="BN17" s="375">
        <f t="shared" si="8"/>
        <v>9</v>
      </c>
      <c r="BO17" s="378">
        <f t="shared" si="9"/>
        <v>0</v>
      </c>
    </row>
    <row r="18" spans="1:77" ht="13.5" customHeight="1" thickBot="1" x14ac:dyDescent="0.35">
      <c r="B18" s="101"/>
      <c r="E18" s="111" t="s">
        <v>82</v>
      </c>
      <c r="F18" s="121">
        <f t="shared" ref="F18:K18" si="10">1/(1-F12)</f>
        <v>1.0526315789473684</v>
      </c>
      <c r="G18" s="121">
        <f t="shared" si="10"/>
        <v>0.90909090909090906</v>
      </c>
      <c r="H18" s="121">
        <f t="shared" si="10"/>
        <v>1.25</v>
      </c>
      <c r="I18" s="121">
        <f t="shared" si="10"/>
        <v>0.97560975609756106</v>
      </c>
      <c r="J18" s="121">
        <f t="shared" si="10"/>
        <v>1.1428571428571428</v>
      </c>
      <c r="K18" s="121">
        <f t="shared" si="10"/>
        <v>1.0309278350515465</v>
      </c>
      <c r="L18" s="121">
        <f t="shared" ref="L18:BN18" si="11">1/(1-L12)</f>
        <v>0.90909090909090906</v>
      </c>
      <c r="M18" s="121">
        <f t="shared" si="11"/>
        <v>0.90909090909090906</v>
      </c>
      <c r="N18" s="121">
        <f t="shared" si="11"/>
        <v>0.90909090909090906</v>
      </c>
      <c r="O18" s="121">
        <f t="shared" si="11"/>
        <v>0.90909090909090906</v>
      </c>
      <c r="P18" s="121">
        <f t="shared" si="11"/>
        <v>0.90909090909090906</v>
      </c>
      <c r="Q18" s="121">
        <f t="shared" si="11"/>
        <v>0.90909090909090906</v>
      </c>
      <c r="R18" s="121">
        <f t="shared" si="11"/>
        <v>0.90909090909090906</v>
      </c>
      <c r="S18" s="121">
        <f t="shared" si="11"/>
        <v>0.90909090909090906</v>
      </c>
      <c r="T18" s="121">
        <f t="shared" si="11"/>
        <v>0.90909090909090906</v>
      </c>
      <c r="U18" s="121">
        <f t="shared" si="11"/>
        <v>0.90909090909090906</v>
      </c>
      <c r="V18" s="121">
        <f t="shared" si="11"/>
        <v>0.90909090909090906</v>
      </c>
      <c r="W18" s="121">
        <f t="shared" si="11"/>
        <v>0.97560975609756106</v>
      </c>
      <c r="X18" s="121">
        <f t="shared" si="11"/>
        <v>0.97560975609756106</v>
      </c>
      <c r="Y18" s="121">
        <f t="shared" si="11"/>
        <v>0.97560975609756106</v>
      </c>
      <c r="Z18" s="121">
        <f t="shared" si="11"/>
        <v>0.97560975609756106</v>
      </c>
      <c r="AA18" s="121">
        <f t="shared" si="11"/>
        <v>0.97560975609756106</v>
      </c>
      <c r="AB18" s="121">
        <f t="shared" si="11"/>
        <v>0.97560975609756106</v>
      </c>
      <c r="AC18" s="121">
        <f t="shared" si="11"/>
        <v>0.97560975609756106</v>
      </c>
      <c r="AD18" s="121">
        <f t="shared" si="11"/>
        <v>0.97560975609756106</v>
      </c>
      <c r="AE18" s="121">
        <f t="shared" si="11"/>
        <v>0.97560975609756106</v>
      </c>
      <c r="AF18" s="121">
        <f t="shared" si="11"/>
        <v>0.97560975609756106</v>
      </c>
      <c r="AG18" s="121">
        <f t="shared" si="11"/>
        <v>0.97560975609756106</v>
      </c>
      <c r="AH18" s="121">
        <f t="shared" si="11"/>
        <v>1.0526315789473684</v>
      </c>
      <c r="AI18" s="121">
        <f t="shared" si="11"/>
        <v>1.0526315789473684</v>
      </c>
      <c r="AJ18" s="121">
        <f t="shared" si="11"/>
        <v>1.0526315789473684</v>
      </c>
      <c r="AK18" s="121">
        <f t="shared" si="11"/>
        <v>1.0526315789473684</v>
      </c>
      <c r="AL18" s="121">
        <f t="shared" si="11"/>
        <v>1.0526315789473684</v>
      </c>
      <c r="AM18" s="121">
        <f t="shared" si="11"/>
        <v>1.0526315789473684</v>
      </c>
      <c r="AN18" s="121">
        <f t="shared" si="11"/>
        <v>1.0526315789473684</v>
      </c>
      <c r="AO18" s="121">
        <f t="shared" si="11"/>
        <v>1.0526315789473684</v>
      </c>
      <c r="AP18" s="121">
        <f t="shared" si="11"/>
        <v>1.0526315789473684</v>
      </c>
      <c r="AQ18" s="121">
        <f t="shared" si="11"/>
        <v>1.0526315789473684</v>
      </c>
      <c r="AR18" s="121">
        <f t="shared" si="11"/>
        <v>1.0526315789473684</v>
      </c>
      <c r="AS18" s="121">
        <f t="shared" si="11"/>
        <v>1.1428571428571428</v>
      </c>
      <c r="AT18" s="121">
        <f t="shared" si="11"/>
        <v>1.1428571428571428</v>
      </c>
      <c r="AU18" s="121">
        <f t="shared" si="11"/>
        <v>1.1428571428571428</v>
      </c>
      <c r="AV18" s="121">
        <f t="shared" si="11"/>
        <v>1.1428571428571428</v>
      </c>
      <c r="AW18" s="121">
        <f t="shared" si="11"/>
        <v>1.1428571428571428</v>
      </c>
      <c r="AX18" s="121">
        <f t="shared" si="11"/>
        <v>1.1428571428571428</v>
      </c>
      <c r="AY18" s="121">
        <f t="shared" si="11"/>
        <v>1.1428571428571428</v>
      </c>
      <c r="AZ18" s="121">
        <f t="shared" si="11"/>
        <v>1.1428571428571428</v>
      </c>
      <c r="BA18" s="121">
        <f t="shared" si="11"/>
        <v>1.1428571428571428</v>
      </c>
      <c r="BB18" s="121">
        <f t="shared" si="11"/>
        <v>1.1428571428571428</v>
      </c>
      <c r="BC18" s="121">
        <f t="shared" si="11"/>
        <v>1.1428571428571428</v>
      </c>
      <c r="BD18" s="121">
        <f t="shared" si="11"/>
        <v>1.25</v>
      </c>
      <c r="BE18" s="121">
        <f t="shared" si="11"/>
        <v>1.25</v>
      </c>
      <c r="BF18" s="121">
        <f t="shared" si="11"/>
        <v>1.25</v>
      </c>
      <c r="BG18" s="121">
        <f t="shared" si="11"/>
        <v>1.25</v>
      </c>
      <c r="BH18" s="121">
        <f t="shared" si="11"/>
        <v>1.25</v>
      </c>
      <c r="BI18" s="121">
        <f t="shared" si="11"/>
        <v>1.25</v>
      </c>
      <c r="BJ18" s="121">
        <f t="shared" si="11"/>
        <v>1.25</v>
      </c>
      <c r="BK18" s="121">
        <f t="shared" si="11"/>
        <v>1.25</v>
      </c>
      <c r="BL18" s="121">
        <f t="shared" si="11"/>
        <v>1.25</v>
      </c>
      <c r="BM18" s="121">
        <f t="shared" si="11"/>
        <v>1.25</v>
      </c>
      <c r="BN18" s="121">
        <f t="shared" si="11"/>
        <v>1.25</v>
      </c>
      <c r="BO18" s="377"/>
    </row>
    <row r="19" spans="1:77" ht="13.5" customHeight="1" thickBot="1" x14ac:dyDescent="0.35">
      <c r="D19" s="2"/>
      <c r="E19" s="111" t="s">
        <v>83</v>
      </c>
      <c r="F19" s="122">
        <f t="shared" ref="F19:K19" si="12">1/(1-(F16))</f>
        <v>1</v>
      </c>
      <c r="G19" s="122">
        <f t="shared" si="12"/>
        <v>0.90909090909090906</v>
      </c>
      <c r="H19" s="122">
        <f t="shared" si="12"/>
        <v>1.25</v>
      </c>
      <c r="I19" s="122">
        <f t="shared" si="12"/>
        <v>0.95238095238095233</v>
      </c>
      <c r="J19" s="122">
        <f t="shared" si="12"/>
        <v>1.1111111111111112</v>
      </c>
      <c r="K19" s="122">
        <f t="shared" si="12"/>
        <v>1.0309278350515465</v>
      </c>
      <c r="L19" s="122">
        <f t="shared" ref="L19:BN19" si="13">1/(1-(L16))</f>
        <v>1</v>
      </c>
      <c r="M19" s="122">
        <f t="shared" si="13"/>
        <v>1</v>
      </c>
      <c r="N19" s="122">
        <f t="shared" si="13"/>
        <v>1</v>
      </c>
      <c r="O19" s="122">
        <f t="shared" si="13"/>
        <v>1</v>
      </c>
      <c r="P19" s="122">
        <f t="shared" si="13"/>
        <v>1</v>
      </c>
      <c r="Q19" s="122">
        <f t="shared" si="13"/>
        <v>1</v>
      </c>
      <c r="R19" s="122">
        <f t="shared" si="13"/>
        <v>1</v>
      </c>
      <c r="S19" s="122">
        <f t="shared" si="13"/>
        <v>1</v>
      </c>
      <c r="T19" s="122">
        <f t="shared" si="13"/>
        <v>1</v>
      </c>
      <c r="U19" s="122">
        <f t="shared" si="13"/>
        <v>1</v>
      </c>
      <c r="V19" s="122">
        <f t="shared" si="13"/>
        <v>1</v>
      </c>
      <c r="W19" s="122">
        <f t="shared" si="13"/>
        <v>1</v>
      </c>
      <c r="X19" s="122">
        <f t="shared" si="13"/>
        <v>1</v>
      </c>
      <c r="Y19" s="122">
        <f t="shared" si="13"/>
        <v>1</v>
      </c>
      <c r="Z19" s="122">
        <f t="shared" si="13"/>
        <v>1</v>
      </c>
      <c r="AA19" s="122">
        <f t="shared" si="13"/>
        <v>1</v>
      </c>
      <c r="AB19" s="122">
        <f t="shared" si="13"/>
        <v>1</v>
      </c>
      <c r="AC19" s="122">
        <f t="shared" si="13"/>
        <v>1</v>
      </c>
      <c r="AD19" s="122">
        <f t="shared" si="13"/>
        <v>1</v>
      </c>
      <c r="AE19" s="122">
        <f t="shared" si="13"/>
        <v>1</v>
      </c>
      <c r="AF19" s="122">
        <f t="shared" si="13"/>
        <v>1</v>
      </c>
      <c r="AG19" s="122">
        <f t="shared" si="13"/>
        <v>1</v>
      </c>
      <c r="AH19" s="122">
        <f t="shared" si="13"/>
        <v>1</v>
      </c>
      <c r="AI19" s="122">
        <f t="shared" si="13"/>
        <v>1</v>
      </c>
      <c r="AJ19" s="122">
        <f t="shared" si="13"/>
        <v>1</v>
      </c>
      <c r="AK19" s="122">
        <f t="shared" si="13"/>
        <v>1</v>
      </c>
      <c r="AL19" s="122">
        <f t="shared" si="13"/>
        <v>1</v>
      </c>
      <c r="AM19" s="122">
        <f t="shared" si="13"/>
        <v>1</v>
      </c>
      <c r="AN19" s="122">
        <f t="shared" si="13"/>
        <v>1</v>
      </c>
      <c r="AO19" s="122">
        <f t="shared" si="13"/>
        <v>1</v>
      </c>
      <c r="AP19" s="122">
        <f t="shared" si="13"/>
        <v>1</v>
      </c>
      <c r="AQ19" s="122">
        <f t="shared" si="13"/>
        <v>1</v>
      </c>
      <c r="AR19" s="122">
        <f t="shared" si="13"/>
        <v>1</v>
      </c>
      <c r="AS19" s="122">
        <f t="shared" si="13"/>
        <v>1</v>
      </c>
      <c r="AT19" s="122">
        <f t="shared" si="13"/>
        <v>1</v>
      </c>
      <c r="AU19" s="122">
        <f t="shared" si="13"/>
        <v>1</v>
      </c>
      <c r="AV19" s="122">
        <f t="shared" si="13"/>
        <v>1</v>
      </c>
      <c r="AW19" s="122">
        <f t="shared" si="13"/>
        <v>1</v>
      </c>
      <c r="AX19" s="122">
        <f t="shared" si="13"/>
        <v>1</v>
      </c>
      <c r="AY19" s="122">
        <f t="shared" si="13"/>
        <v>1</v>
      </c>
      <c r="AZ19" s="122">
        <f t="shared" si="13"/>
        <v>1</v>
      </c>
      <c r="BA19" s="122">
        <f t="shared" si="13"/>
        <v>1</v>
      </c>
      <c r="BB19" s="122">
        <f t="shared" si="13"/>
        <v>1</v>
      </c>
      <c r="BC19" s="122">
        <f t="shared" si="13"/>
        <v>1</v>
      </c>
      <c r="BD19" s="122">
        <f t="shared" si="13"/>
        <v>1</v>
      </c>
      <c r="BE19" s="122">
        <f t="shared" si="13"/>
        <v>1</v>
      </c>
      <c r="BF19" s="122">
        <f t="shared" si="13"/>
        <v>1</v>
      </c>
      <c r="BG19" s="122">
        <f t="shared" si="13"/>
        <v>1</v>
      </c>
      <c r="BH19" s="122">
        <f t="shared" si="13"/>
        <v>1</v>
      </c>
      <c r="BI19" s="122">
        <f t="shared" si="13"/>
        <v>1</v>
      </c>
      <c r="BJ19" s="122">
        <f t="shared" si="13"/>
        <v>1</v>
      </c>
      <c r="BK19" s="122">
        <f t="shared" si="13"/>
        <v>1</v>
      </c>
      <c r="BL19" s="122">
        <f t="shared" si="13"/>
        <v>1</v>
      </c>
      <c r="BM19" s="122">
        <f t="shared" si="13"/>
        <v>1</v>
      </c>
      <c r="BN19" s="122">
        <f t="shared" si="13"/>
        <v>1</v>
      </c>
      <c r="BO19" s="379">
        <f>MAX(BO8:BO17)</f>
        <v>0.9</v>
      </c>
      <c r="BP19" s="2"/>
    </row>
    <row r="20" spans="1:77" ht="56" x14ac:dyDescent="0.3">
      <c r="D20" s="2"/>
      <c r="E20" s="63" t="s">
        <v>66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77" ht="14.5" thickBot="1" x14ac:dyDescent="0.35">
      <c r="A21" s="14" t="s">
        <v>63</v>
      </c>
      <c r="E21" s="110" t="s">
        <v>69</v>
      </c>
      <c r="F21" s="123">
        <f>IF(AltCon_txt="e-consult first",'Sensitivity Analysis'!F18,'Sensitivity Analysis'!F19)</f>
        <v>1.0526315789473684</v>
      </c>
      <c r="G21" s="123">
        <f>IF(AltCon_txt="e-consult first",'Sensitivity Analysis'!G18,'Sensitivity Analysis'!G19)</f>
        <v>0.90909090909090906</v>
      </c>
      <c r="H21" s="123">
        <f>IF(AltCon_txt="e-consult first",'Sensitivity Analysis'!H18,'Sensitivity Analysis'!H19)</f>
        <v>1.25</v>
      </c>
      <c r="I21" s="123">
        <f>IF(AltCon_txt="e-consult first",'Sensitivity Analysis'!I18,'Sensitivity Analysis'!I19)</f>
        <v>0.97560975609756106</v>
      </c>
      <c r="J21" s="123">
        <f>IF(AltCon_txt="e-consult first",'Sensitivity Analysis'!J18,'Sensitivity Analysis'!J19)</f>
        <v>1.1428571428571428</v>
      </c>
      <c r="K21" s="123">
        <f>IF(AltCon_txt="e-consult first",'Sensitivity Analysis'!K18,'Sensitivity Analysis'!K19)</f>
        <v>1.0309278350515465</v>
      </c>
      <c r="L21" s="123">
        <f>IF(AltCon_txt="e-consult first",'Sensitivity Analysis'!L18,'Sensitivity Analysis'!L19)</f>
        <v>0.90909090909090906</v>
      </c>
      <c r="M21" s="123">
        <f>IF(AltCon_txt="e-consult first",'Sensitivity Analysis'!M18,'Sensitivity Analysis'!M19)</f>
        <v>0.90909090909090906</v>
      </c>
      <c r="N21" s="123">
        <f>IF(AltCon_txt="e-consult first",'Sensitivity Analysis'!N18,'Sensitivity Analysis'!N19)</f>
        <v>0.90909090909090906</v>
      </c>
      <c r="O21" s="123">
        <f>IF(AltCon_txt="e-consult first",'Sensitivity Analysis'!O18,'Sensitivity Analysis'!O19)</f>
        <v>0.90909090909090906</v>
      </c>
      <c r="P21" s="123">
        <f>IF(AltCon_txt="e-consult first",'Sensitivity Analysis'!P18,'Sensitivity Analysis'!P19)</f>
        <v>0.90909090909090906</v>
      </c>
      <c r="Q21" s="123">
        <f>IF(AltCon_txt="e-consult first",'Sensitivity Analysis'!Q18,'Sensitivity Analysis'!Q19)</f>
        <v>0.90909090909090906</v>
      </c>
      <c r="R21" s="123">
        <f>IF(AltCon_txt="e-consult first",'Sensitivity Analysis'!R18,'Sensitivity Analysis'!R19)</f>
        <v>0.90909090909090906</v>
      </c>
      <c r="S21" s="123">
        <f>IF(AltCon_txt="e-consult first",'Sensitivity Analysis'!S18,'Sensitivity Analysis'!S19)</f>
        <v>0.90909090909090906</v>
      </c>
      <c r="T21" s="123">
        <f>IF(AltCon_txt="e-consult first",'Sensitivity Analysis'!T18,'Sensitivity Analysis'!T19)</f>
        <v>0.90909090909090906</v>
      </c>
      <c r="U21" s="123">
        <f>IF(AltCon_txt="e-consult first",'Sensitivity Analysis'!U18,'Sensitivity Analysis'!U19)</f>
        <v>0.90909090909090906</v>
      </c>
      <c r="V21" s="123">
        <f>IF(AltCon_txt="e-consult first",'Sensitivity Analysis'!V18,'Sensitivity Analysis'!V19)</f>
        <v>0.90909090909090906</v>
      </c>
      <c r="W21" s="123">
        <f>IF(AltCon_txt="e-consult first",'Sensitivity Analysis'!W18,'Sensitivity Analysis'!W19)</f>
        <v>0.97560975609756106</v>
      </c>
      <c r="X21" s="123">
        <f>IF(AltCon_txt="e-consult first",'Sensitivity Analysis'!X18,'Sensitivity Analysis'!X19)</f>
        <v>0.97560975609756106</v>
      </c>
      <c r="Y21" s="123">
        <f>IF(AltCon_txt="e-consult first",'Sensitivity Analysis'!Y18,'Sensitivity Analysis'!Y19)</f>
        <v>0.97560975609756106</v>
      </c>
      <c r="Z21" s="123">
        <f>IF(AltCon_txt="e-consult first",'Sensitivity Analysis'!Z18,'Sensitivity Analysis'!Z19)</f>
        <v>0.97560975609756106</v>
      </c>
      <c r="AA21" s="123">
        <f>IF(AltCon_txt="e-consult first",'Sensitivity Analysis'!AA18,'Sensitivity Analysis'!AA19)</f>
        <v>0.97560975609756106</v>
      </c>
      <c r="AB21" s="123">
        <f>IF(AltCon_txt="e-consult first",'Sensitivity Analysis'!AB18,'Sensitivity Analysis'!AB19)</f>
        <v>0.97560975609756106</v>
      </c>
      <c r="AC21" s="123">
        <f>IF(AltCon_txt="e-consult first",'Sensitivity Analysis'!AC18,'Sensitivity Analysis'!AC19)</f>
        <v>0.97560975609756106</v>
      </c>
      <c r="AD21" s="123">
        <f>IF(AltCon_txt="e-consult first",'Sensitivity Analysis'!AD18,'Sensitivity Analysis'!AD19)</f>
        <v>0.97560975609756106</v>
      </c>
      <c r="AE21" s="123">
        <f>IF(AltCon_txt="e-consult first",'Sensitivity Analysis'!AE18,'Sensitivity Analysis'!AE19)</f>
        <v>0.97560975609756106</v>
      </c>
      <c r="AF21" s="123">
        <f>IF(AltCon_txt="e-consult first",'Sensitivity Analysis'!AF18,'Sensitivity Analysis'!AF19)</f>
        <v>0.97560975609756106</v>
      </c>
      <c r="AG21" s="123">
        <f>IF(AltCon_txt="e-consult first",'Sensitivity Analysis'!AG18,'Sensitivity Analysis'!AG19)</f>
        <v>0.97560975609756106</v>
      </c>
      <c r="AH21" s="123">
        <f>IF(AltCon_txt="e-consult first",'Sensitivity Analysis'!AH18,'Sensitivity Analysis'!AH19)</f>
        <v>1.0526315789473684</v>
      </c>
      <c r="AI21" s="123">
        <f>IF(AltCon_txt="e-consult first",'Sensitivity Analysis'!AI18,'Sensitivity Analysis'!AI19)</f>
        <v>1.0526315789473684</v>
      </c>
      <c r="AJ21" s="123">
        <f>IF(AltCon_txt="e-consult first",'Sensitivity Analysis'!AJ18,'Sensitivity Analysis'!AJ19)</f>
        <v>1.0526315789473684</v>
      </c>
      <c r="AK21" s="123">
        <f>IF(AltCon_txt="e-consult first",'Sensitivity Analysis'!AK18,'Sensitivity Analysis'!AK19)</f>
        <v>1.0526315789473684</v>
      </c>
      <c r="AL21" s="123">
        <f>IF(AltCon_txt="e-consult first",'Sensitivity Analysis'!AL18,'Sensitivity Analysis'!AL19)</f>
        <v>1.0526315789473684</v>
      </c>
      <c r="AM21" s="123">
        <f>IF(AltCon_txt="e-consult first",'Sensitivity Analysis'!AM18,'Sensitivity Analysis'!AM19)</f>
        <v>1.0526315789473684</v>
      </c>
      <c r="AN21" s="123">
        <f>IF(AltCon_txt="e-consult first",'Sensitivity Analysis'!AN18,'Sensitivity Analysis'!AN19)</f>
        <v>1.0526315789473684</v>
      </c>
      <c r="AO21" s="123">
        <f>IF(AltCon_txt="e-consult first",'Sensitivity Analysis'!AO18,'Sensitivity Analysis'!AO19)</f>
        <v>1.0526315789473684</v>
      </c>
      <c r="AP21" s="123">
        <f>IF(AltCon_txt="e-consult first",'Sensitivity Analysis'!AP18,'Sensitivity Analysis'!AP19)</f>
        <v>1.0526315789473684</v>
      </c>
      <c r="AQ21" s="123">
        <f>IF(AltCon_txt="e-consult first",'Sensitivity Analysis'!AQ18,'Sensitivity Analysis'!AQ19)</f>
        <v>1.0526315789473684</v>
      </c>
      <c r="AR21" s="123">
        <f>IF(AltCon_txt="e-consult first",'Sensitivity Analysis'!AR18,'Sensitivity Analysis'!AR19)</f>
        <v>1.0526315789473684</v>
      </c>
      <c r="AS21" s="123">
        <f>IF(AltCon_txt="e-consult first",'Sensitivity Analysis'!AS18,'Sensitivity Analysis'!AS19)</f>
        <v>1.1428571428571428</v>
      </c>
      <c r="AT21" s="123">
        <f>IF(AltCon_txt="e-consult first",'Sensitivity Analysis'!AT18,'Sensitivity Analysis'!AT19)</f>
        <v>1.1428571428571428</v>
      </c>
      <c r="AU21" s="123">
        <f>IF(AltCon_txt="e-consult first",'Sensitivity Analysis'!AU18,'Sensitivity Analysis'!AU19)</f>
        <v>1.1428571428571428</v>
      </c>
      <c r="AV21" s="123">
        <f>IF(AltCon_txt="e-consult first",'Sensitivity Analysis'!AV18,'Sensitivity Analysis'!AV19)</f>
        <v>1.1428571428571428</v>
      </c>
      <c r="AW21" s="123">
        <f>IF(AltCon_txt="e-consult first",'Sensitivity Analysis'!AW18,'Sensitivity Analysis'!AW19)</f>
        <v>1.1428571428571428</v>
      </c>
      <c r="AX21" s="123">
        <f>IF(AltCon_txt="e-consult first",'Sensitivity Analysis'!AX18,'Sensitivity Analysis'!AX19)</f>
        <v>1.1428571428571428</v>
      </c>
      <c r="AY21" s="123">
        <f>IF(AltCon_txt="e-consult first",'Sensitivity Analysis'!AY18,'Sensitivity Analysis'!AY19)</f>
        <v>1.1428571428571428</v>
      </c>
      <c r="AZ21" s="123">
        <f>IF(AltCon_txt="e-consult first",'Sensitivity Analysis'!AZ18,'Sensitivity Analysis'!AZ19)</f>
        <v>1.1428571428571428</v>
      </c>
      <c r="BA21" s="123">
        <f>IF(AltCon_txt="e-consult first",'Sensitivity Analysis'!BA18,'Sensitivity Analysis'!BA19)</f>
        <v>1.1428571428571428</v>
      </c>
      <c r="BB21" s="123">
        <f>IF(AltCon_txt="e-consult first",'Sensitivity Analysis'!BB18,'Sensitivity Analysis'!BB19)</f>
        <v>1.1428571428571428</v>
      </c>
      <c r="BC21" s="123">
        <f>IF(AltCon_txt="e-consult first",'Sensitivity Analysis'!BC18,'Sensitivity Analysis'!BC19)</f>
        <v>1.1428571428571428</v>
      </c>
      <c r="BD21" s="123">
        <f>IF(AltCon_txt="e-consult first",'Sensitivity Analysis'!BD18,'Sensitivity Analysis'!BD19)</f>
        <v>1.25</v>
      </c>
      <c r="BE21" s="123">
        <f>IF(AltCon_txt="e-consult first",'Sensitivity Analysis'!BE18,'Sensitivity Analysis'!BE19)</f>
        <v>1.25</v>
      </c>
      <c r="BF21" s="123">
        <f>IF(AltCon_txt="e-consult first",'Sensitivity Analysis'!BF18,'Sensitivity Analysis'!BF19)</f>
        <v>1.25</v>
      </c>
      <c r="BG21" s="123">
        <f>IF(AltCon_txt="e-consult first",'Sensitivity Analysis'!BG18,'Sensitivity Analysis'!BG19)</f>
        <v>1.25</v>
      </c>
      <c r="BH21" s="123">
        <f>IF(AltCon_txt="e-consult first",'Sensitivity Analysis'!BH18,'Sensitivity Analysis'!BH19)</f>
        <v>1.25</v>
      </c>
      <c r="BI21" s="123">
        <f>IF(AltCon_txt="e-consult first",'Sensitivity Analysis'!BI18,'Sensitivity Analysis'!BI19)</f>
        <v>1.25</v>
      </c>
      <c r="BJ21" s="123">
        <f>IF(AltCon_txt="e-consult first",'Sensitivity Analysis'!BJ18,'Sensitivity Analysis'!BJ19)</f>
        <v>1.25</v>
      </c>
      <c r="BK21" s="123">
        <f>IF(AltCon_txt="e-consult first",'Sensitivity Analysis'!BK18,'Sensitivity Analysis'!BK19)</f>
        <v>1.25</v>
      </c>
      <c r="BL21" s="123">
        <f>IF(AltCon_txt="e-consult first",'Sensitivity Analysis'!BL18,'Sensitivity Analysis'!BL19)</f>
        <v>1.25</v>
      </c>
      <c r="BM21" s="123">
        <f>IF(AltCon_txt="e-consult first",'Sensitivity Analysis'!BM18,'Sensitivity Analysis'!BM19)</f>
        <v>1.25</v>
      </c>
      <c r="BN21" s="123">
        <f>IF(AltCon_txt="e-consult first",'Sensitivity Analysis'!BN18,'Sensitivity Analysis'!BN19)</f>
        <v>1.25</v>
      </c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</row>
    <row r="22" spans="1:77" ht="14.5" thickTop="1" x14ac:dyDescent="0.3">
      <c r="A22" s="14"/>
      <c r="E22" s="112"/>
      <c r="F22" s="113"/>
      <c r="G22" s="113"/>
      <c r="H22" s="105"/>
      <c r="I22" s="105"/>
      <c r="J22" s="105"/>
      <c r="K22" s="102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</row>
    <row r="23" spans="1:77" x14ac:dyDescent="0.3">
      <c r="F23" s="106"/>
      <c r="G23" s="106"/>
      <c r="H23" s="106"/>
      <c r="I23" s="106"/>
      <c r="J23" s="106"/>
      <c r="K23" s="107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</row>
    <row r="24" spans="1:77" ht="42" x14ac:dyDescent="0.3">
      <c r="B24" s="3"/>
      <c r="C24" s="3"/>
      <c r="E24" s="63" t="s">
        <v>40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</row>
    <row r="25" spans="1:77" ht="28" x14ac:dyDescent="0.3">
      <c r="A25" s="128"/>
      <c r="B25" s="125" t="s">
        <v>68</v>
      </c>
      <c r="C25" s="78"/>
      <c r="D25" s="13" t="s">
        <v>23</v>
      </c>
      <c r="E25" s="307" t="s">
        <v>67</v>
      </c>
      <c r="F25" s="114">
        <f>IF(AltCon_txt="e-consult first",F21*F8,0)</f>
        <v>1.0526315789473684</v>
      </c>
      <c r="G25" s="117"/>
      <c r="H25" s="117"/>
      <c r="I25" s="117"/>
      <c r="J25" s="212"/>
      <c r="K25" s="108"/>
      <c r="L25" s="236">
        <f t="shared" ref="L25:AQ25" si="14">IF(AltCon_txt="e-consult first",L21*L8,0)</f>
        <v>0.90909090909090906</v>
      </c>
      <c r="M25" s="114">
        <f t="shared" si="14"/>
        <v>0.90909090909090906</v>
      </c>
      <c r="N25" s="114">
        <f t="shared" si="14"/>
        <v>0.90909090909090906</v>
      </c>
      <c r="O25" s="114">
        <f t="shared" si="14"/>
        <v>0.90909090909090906</v>
      </c>
      <c r="P25" s="114">
        <f t="shared" si="14"/>
        <v>0.90909090909090906</v>
      </c>
      <c r="Q25" s="114">
        <f t="shared" si="14"/>
        <v>0.90909090909090906</v>
      </c>
      <c r="R25" s="114">
        <f t="shared" si="14"/>
        <v>0.90909090909090906</v>
      </c>
      <c r="S25" s="114">
        <f t="shared" si="14"/>
        <v>0.90909090909090906</v>
      </c>
      <c r="T25" s="114">
        <f t="shared" si="14"/>
        <v>0.90909090909090906</v>
      </c>
      <c r="U25" s="114">
        <f t="shared" si="14"/>
        <v>0.90909090909090906</v>
      </c>
      <c r="V25" s="114">
        <f t="shared" si="14"/>
        <v>0.90909090909090906</v>
      </c>
      <c r="W25" s="114">
        <f t="shared" si="14"/>
        <v>0.97560975609756106</v>
      </c>
      <c r="X25" s="114">
        <f t="shared" si="14"/>
        <v>0.97560975609756106</v>
      </c>
      <c r="Y25" s="114">
        <f t="shared" si="14"/>
        <v>0.97560975609756106</v>
      </c>
      <c r="Z25" s="114">
        <f t="shared" si="14"/>
        <v>0.97560975609756106</v>
      </c>
      <c r="AA25" s="114">
        <f t="shared" si="14"/>
        <v>0.97560975609756106</v>
      </c>
      <c r="AB25" s="114">
        <f t="shared" si="14"/>
        <v>0.97560975609756106</v>
      </c>
      <c r="AC25" s="114">
        <f t="shared" si="14"/>
        <v>0.97560975609756106</v>
      </c>
      <c r="AD25" s="114">
        <f t="shared" si="14"/>
        <v>0.97560975609756106</v>
      </c>
      <c r="AE25" s="114">
        <f t="shared" si="14"/>
        <v>0.97560975609756106</v>
      </c>
      <c r="AF25" s="114">
        <f t="shared" si="14"/>
        <v>0.97560975609756106</v>
      </c>
      <c r="AG25" s="114">
        <f t="shared" si="14"/>
        <v>0.97560975609756106</v>
      </c>
      <c r="AH25" s="114">
        <f t="shared" si="14"/>
        <v>1.0526315789473684</v>
      </c>
      <c r="AI25" s="114">
        <f t="shared" si="14"/>
        <v>1.0526315789473684</v>
      </c>
      <c r="AJ25" s="114">
        <f t="shared" si="14"/>
        <v>1.0526315789473684</v>
      </c>
      <c r="AK25" s="114">
        <f t="shared" si="14"/>
        <v>1.0526315789473684</v>
      </c>
      <c r="AL25" s="114">
        <f t="shared" si="14"/>
        <v>1.0526315789473684</v>
      </c>
      <c r="AM25" s="114">
        <f t="shared" si="14"/>
        <v>1.0526315789473684</v>
      </c>
      <c r="AN25" s="114">
        <f t="shared" si="14"/>
        <v>1.0526315789473684</v>
      </c>
      <c r="AO25" s="114">
        <f t="shared" si="14"/>
        <v>1.0526315789473684</v>
      </c>
      <c r="AP25" s="114">
        <f t="shared" si="14"/>
        <v>1.0526315789473684</v>
      </c>
      <c r="AQ25" s="114">
        <f t="shared" si="14"/>
        <v>1.0526315789473684</v>
      </c>
      <c r="AR25" s="114">
        <f t="shared" ref="AR25:BN25" si="15">IF(AltCon_txt="e-consult first",AR21*AR8,0)</f>
        <v>1.0526315789473684</v>
      </c>
      <c r="AS25" s="114">
        <f t="shared" si="15"/>
        <v>1.1428571428571428</v>
      </c>
      <c r="AT25" s="114">
        <f t="shared" si="15"/>
        <v>1.1428571428571428</v>
      </c>
      <c r="AU25" s="114">
        <f t="shared" si="15"/>
        <v>1.1428571428571428</v>
      </c>
      <c r="AV25" s="114">
        <f t="shared" si="15"/>
        <v>1.1428571428571428</v>
      </c>
      <c r="AW25" s="114">
        <f t="shared" si="15"/>
        <v>1.1428571428571428</v>
      </c>
      <c r="AX25" s="114">
        <f t="shared" si="15"/>
        <v>1.1428571428571428</v>
      </c>
      <c r="AY25" s="114">
        <f t="shared" si="15"/>
        <v>1.1428571428571428</v>
      </c>
      <c r="AZ25" s="114">
        <f t="shared" si="15"/>
        <v>1.1428571428571428</v>
      </c>
      <c r="BA25" s="114">
        <f t="shared" si="15"/>
        <v>1.1428571428571428</v>
      </c>
      <c r="BB25" s="114">
        <f t="shared" si="15"/>
        <v>1.1428571428571428</v>
      </c>
      <c r="BC25" s="114">
        <f t="shared" si="15"/>
        <v>1.1428571428571428</v>
      </c>
      <c r="BD25" s="114">
        <f t="shared" si="15"/>
        <v>1.25</v>
      </c>
      <c r="BE25" s="114">
        <f t="shared" si="15"/>
        <v>1.25</v>
      </c>
      <c r="BF25" s="114">
        <f t="shared" si="15"/>
        <v>1.25</v>
      </c>
      <c r="BG25" s="114">
        <f t="shared" si="15"/>
        <v>1.25</v>
      </c>
      <c r="BH25" s="114">
        <f t="shared" si="15"/>
        <v>1.25</v>
      </c>
      <c r="BI25" s="114">
        <f t="shared" si="15"/>
        <v>1.25</v>
      </c>
      <c r="BJ25" s="114">
        <f t="shared" si="15"/>
        <v>1.25</v>
      </c>
      <c r="BK25" s="114">
        <f t="shared" si="15"/>
        <v>1.25</v>
      </c>
      <c r="BL25" s="114">
        <f t="shared" si="15"/>
        <v>1.25</v>
      </c>
      <c r="BM25" s="114">
        <f t="shared" si="15"/>
        <v>1.25</v>
      </c>
      <c r="BN25" s="237">
        <f t="shared" si="15"/>
        <v>1.25</v>
      </c>
    </row>
    <row r="26" spans="1:77" ht="28" x14ac:dyDescent="0.3">
      <c r="A26" s="126"/>
      <c r="B26" s="126" t="s">
        <v>108</v>
      </c>
      <c r="C26" s="101"/>
      <c r="D26" s="213" t="s">
        <v>107</v>
      </c>
      <c r="E26" s="308" t="s">
        <v>70</v>
      </c>
      <c r="F26" s="253">
        <f>IF(AltCon_txt="e-consult first",(((1-F8)*(1-F39))+(F8*F21*(1-F9)*(1-F10))),(1-F13))</f>
        <v>7.3684210526315769E-2</v>
      </c>
      <c r="G26" s="215"/>
      <c r="H26" s="215"/>
      <c r="I26" s="215"/>
      <c r="J26" s="216"/>
      <c r="K26" s="108"/>
      <c r="L26" s="253">
        <f t="shared" ref="L26:AQ26" si="16">IF(AltCon_txt="e-consult first",(((1-L8)*(1-L39))+(L8*L21*(1-L9)*(1-L10))),(1-L13))</f>
        <v>0.44545454545454544</v>
      </c>
      <c r="M26" s="253">
        <f t="shared" si="16"/>
        <v>0.40090909090909088</v>
      </c>
      <c r="N26" s="253">
        <f t="shared" si="16"/>
        <v>0.35636363636363638</v>
      </c>
      <c r="O26" s="253">
        <f t="shared" si="16"/>
        <v>0.31181818181818183</v>
      </c>
      <c r="P26" s="253">
        <f t="shared" si="16"/>
        <v>0.26727272727272727</v>
      </c>
      <c r="Q26" s="253">
        <f t="shared" si="16"/>
        <v>0.22272727272727277</v>
      </c>
      <c r="R26" s="253">
        <f t="shared" si="16"/>
        <v>0.17818181818181819</v>
      </c>
      <c r="S26" s="253">
        <f t="shared" si="16"/>
        <v>0.13363636363636369</v>
      </c>
      <c r="T26" s="253">
        <f t="shared" si="16"/>
        <v>8.9090909090909165E-2</v>
      </c>
      <c r="U26" s="253">
        <f t="shared" si="16"/>
        <v>4.4545454545454582E-2</v>
      </c>
      <c r="V26" s="253">
        <f t="shared" si="16"/>
        <v>0</v>
      </c>
      <c r="W26" s="253">
        <f t="shared" si="16"/>
        <v>0.47804878048780486</v>
      </c>
      <c r="X26" s="253">
        <f t="shared" si="16"/>
        <v>0.43024390243902444</v>
      </c>
      <c r="Y26" s="253">
        <f t="shared" si="16"/>
        <v>0.38243902439024396</v>
      </c>
      <c r="Z26" s="253">
        <f t="shared" si="16"/>
        <v>0.33463414634146343</v>
      </c>
      <c r="AA26" s="253">
        <f t="shared" si="16"/>
        <v>0.28682926829268296</v>
      </c>
      <c r="AB26" s="253">
        <f t="shared" si="16"/>
        <v>0.23902439024390251</v>
      </c>
      <c r="AC26" s="253">
        <f t="shared" si="16"/>
        <v>0.19121951219512198</v>
      </c>
      <c r="AD26" s="253">
        <f t="shared" si="16"/>
        <v>0.14341463414634154</v>
      </c>
      <c r="AE26" s="253">
        <f t="shared" si="16"/>
        <v>9.5609756097561074E-2</v>
      </c>
      <c r="AF26" s="253">
        <f t="shared" si="16"/>
        <v>4.7804878048780537E-2</v>
      </c>
      <c r="AG26" s="253">
        <f t="shared" si="16"/>
        <v>0</v>
      </c>
      <c r="AH26" s="253">
        <f t="shared" si="16"/>
        <v>0.51578947368421046</v>
      </c>
      <c r="AI26" s="253">
        <f t="shared" si="16"/>
        <v>0.46421052631578946</v>
      </c>
      <c r="AJ26" s="253">
        <f t="shared" si="16"/>
        <v>0.41263157894736846</v>
      </c>
      <c r="AK26" s="253">
        <f t="shared" si="16"/>
        <v>0.36105263157894735</v>
      </c>
      <c r="AL26" s="253">
        <f t="shared" si="16"/>
        <v>0.30947368421052635</v>
      </c>
      <c r="AM26" s="253">
        <f t="shared" si="16"/>
        <v>0.25789473684210529</v>
      </c>
      <c r="AN26" s="253">
        <f t="shared" si="16"/>
        <v>0.20631578947368423</v>
      </c>
      <c r="AO26" s="253">
        <f t="shared" si="16"/>
        <v>0.1547368421052632</v>
      </c>
      <c r="AP26" s="253">
        <f t="shared" si="16"/>
        <v>0.10315789473684218</v>
      </c>
      <c r="AQ26" s="253">
        <f t="shared" si="16"/>
        <v>5.1578947368421092E-2</v>
      </c>
      <c r="AR26" s="253">
        <f t="shared" ref="AR26:BN26" si="17">IF(AltCon_txt="e-consult first",(((1-AR8)*(1-AR39))+(AR8*AR21*(1-AR9)*(1-AR10))),(1-AR13))</f>
        <v>0</v>
      </c>
      <c r="AS26" s="253">
        <f t="shared" si="17"/>
        <v>0.55999999999999994</v>
      </c>
      <c r="AT26" s="253">
        <f t="shared" si="17"/>
        <v>0.504</v>
      </c>
      <c r="AU26" s="253">
        <f t="shared" si="17"/>
        <v>0.44800000000000001</v>
      </c>
      <c r="AV26" s="253">
        <f t="shared" si="17"/>
        <v>0.39199999999999996</v>
      </c>
      <c r="AW26" s="253">
        <f t="shared" si="17"/>
        <v>0.33600000000000002</v>
      </c>
      <c r="AX26" s="253">
        <f t="shared" si="17"/>
        <v>0.28000000000000003</v>
      </c>
      <c r="AY26" s="253">
        <f t="shared" si="17"/>
        <v>0.224</v>
      </c>
      <c r="AZ26" s="253">
        <f t="shared" si="17"/>
        <v>0.16800000000000004</v>
      </c>
      <c r="BA26" s="253">
        <f t="shared" si="17"/>
        <v>0.11200000000000009</v>
      </c>
      <c r="BB26" s="253">
        <f t="shared" si="17"/>
        <v>5.6000000000000043E-2</v>
      </c>
      <c r="BC26" s="253">
        <f t="shared" si="17"/>
        <v>0</v>
      </c>
      <c r="BD26" s="253">
        <f t="shared" si="17"/>
        <v>0.61249999999999993</v>
      </c>
      <c r="BE26" s="253">
        <f t="shared" si="17"/>
        <v>0.55125000000000002</v>
      </c>
      <c r="BF26" s="253">
        <f t="shared" si="17"/>
        <v>0.49000000000000005</v>
      </c>
      <c r="BG26" s="253">
        <f t="shared" si="17"/>
        <v>0.42874999999999996</v>
      </c>
      <c r="BH26" s="253">
        <f t="shared" si="17"/>
        <v>0.36750000000000005</v>
      </c>
      <c r="BI26" s="253">
        <f t="shared" si="17"/>
        <v>0.30625000000000008</v>
      </c>
      <c r="BJ26" s="253">
        <f t="shared" si="17"/>
        <v>0.24500000000000002</v>
      </c>
      <c r="BK26" s="253">
        <f t="shared" si="17"/>
        <v>0.18375000000000008</v>
      </c>
      <c r="BL26" s="253">
        <f t="shared" si="17"/>
        <v>0.12250000000000011</v>
      </c>
      <c r="BM26" s="253">
        <f t="shared" si="17"/>
        <v>6.1250000000000054E-2</v>
      </c>
      <c r="BN26" s="253">
        <f t="shared" si="17"/>
        <v>0</v>
      </c>
    </row>
    <row r="27" spans="1:77" ht="28" x14ac:dyDescent="0.3">
      <c r="A27" s="126"/>
      <c r="B27" s="126" t="s">
        <v>109</v>
      </c>
      <c r="C27" s="101"/>
      <c r="D27" s="213" t="s">
        <v>22</v>
      </c>
      <c r="E27" s="308" t="s">
        <v>71</v>
      </c>
      <c r="F27" s="253">
        <f>IF(AltCon_txt="e-consult first",((1-F8)*F39)+(F8*F21*(1-F9)*F10),(F21*F13))</f>
        <v>0.66315789473684206</v>
      </c>
      <c r="G27" s="215"/>
      <c r="H27" s="215"/>
      <c r="I27" s="215"/>
      <c r="J27" s="216"/>
      <c r="K27" s="108"/>
      <c r="L27" s="253">
        <f t="shared" ref="L27:AQ27" si="18">IF(AltCon_txt="e-consult first",((1-L8)*L39)+(L8*L21*(1-L9)*L10),(L21*L13))</f>
        <v>0.19090909090909089</v>
      </c>
      <c r="M27" s="253">
        <f t="shared" si="18"/>
        <v>0.23545454545454544</v>
      </c>
      <c r="N27" s="253">
        <f t="shared" si="18"/>
        <v>0.27999999999999997</v>
      </c>
      <c r="O27" s="253">
        <f t="shared" si="18"/>
        <v>0.32454545454545453</v>
      </c>
      <c r="P27" s="253">
        <f t="shared" si="18"/>
        <v>0.36909090909090908</v>
      </c>
      <c r="Q27" s="253">
        <f t="shared" si="18"/>
        <v>0.41363636363636358</v>
      </c>
      <c r="R27" s="253">
        <f t="shared" si="18"/>
        <v>0.45818181818181813</v>
      </c>
      <c r="S27" s="253">
        <f t="shared" si="18"/>
        <v>0.50272727272727269</v>
      </c>
      <c r="T27" s="253">
        <f t="shared" si="18"/>
        <v>0.54727272727272713</v>
      </c>
      <c r="U27" s="253">
        <f t="shared" si="18"/>
        <v>0.5918181818181818</v>
      </c>
      <c r="V27" s="253">
        <f t="shared" si="18"/>
        <v>0.63636363636363635</v>
      </c>
      <c r="W27" s="253">
        <f t="shared" si="18"/>
        <v>0.20487804878048782</v>
      </c>
      <c r="X27" s="253">
        <f t="shared" si="18"/>
        <v>0.2526829268292683</v>
      </c>
      <c r="Y27" s="253">
        <f t="shared" si="18"/>
        <v>0.30048780487804877</v>
      </c>
      <c r="Z27" s="253">
        <f t="shared" si="18"/>
        <v>0.3482926829268293</v>
      </c>
      <c r="AA27" s="253">
        <f t="shared" si="18"/>
        <v>0.39609756097560977</v>
      </c>
      <c r="AB27" s="253">
        <f t="shared" si="18"/>
        <v>0.44390243902439019</v>
      </c>
      <c r="AC27" s="253">
        <f t="shared" si="18"/>
        <v>0.49170731707317072</v>
      </c>
      <c r="AD27" s="253">
        <f t="shared" si="18"/>
        <v>0.53951219512195125</v>
      </c>
      <c r="AE27" s="253">
        <f t="shared" si="18"/>
        <v>0.58731707317073167</v>
      </c>
      <c r="AF27" s="253">
        <f t="shared" si="18"/>
        <v>0.6351219512195122</v>
      </c>
      <c r="AG27" s="253">
        <f t="shared" si="18"/>
        <v>0.68292682926829273</v>
      </c>
      <c r="AH27" s="253">
        <f t="shared" si="18"/>
        <v>0.22105263157894736</v>
      </c>
      <c r="AI27" s="253">
        <f t="shared" si="18"/>
        <v>0.27263157894736839</v>
      </c>
      <c r="AJ27" s="253">
        <f t="shared" si="18"/>
        <v>0.32421052631578939</v>
      </c>
      <c r="AK27" s="253">
        <f t="shared" si="18"/>
        <v>0.37578947368421051</v>
      </c>
      <c r="AL27" s="253">
        <f t="shared" si="18"/>
        <v>0.42736842105263151</v>
      </c>
      <c r="AM27" s="253">
        <f t="shared" si="18"/>
        <v>0.47894736842105257</v>
      </c>
      <c r="AN27" s="253">
        <f t="shared" si="18"/>
        <v>0.53052631578947362</v>
      </c>
      <c r="AO27" s="253">
        <f t="shared" si="18"/>
        <v>0.58210526315789468</v>
      </c>
      <c r="AP27" s="253">
        <f t="shared" si="18"/>
        <v>0.63368421052631563</v>
      </c>
      <c r="AQ27" s="253">
        <f t="shared" si="18"/>
        <v>0.6852631578947368</v>
      </c>
      <c r="AR27" s="253">
        <f t="shared" ref="AR27:BN27" si="19">IF(AltCon_txt="e-consult first",((1-AR8)*AR39)+(AR8*AR21*(1-AR9)*AR10),(AR21*AR13))</f>
        <v>0.73684210526315785</v>
      </c>
      <c r="AS27" s="253">
        <f t="shared" si="19"/>
        <v>0.23999999999999996</v>
      </c>
      <c r="AT27" s="253">
        <f t="shared" si="19"/>
        <v>0.29599999999999999</v>
      </c>
      <c r="AU27" s="253">
        <f t="shared" si="19"/>
        <v>0.35199999999999992</v>
      </c>
      <c r="AV27" s="253">
        <f t="shared" si="19"/>
        <v>0.40799999999999997</v>
      </c>
      <c r="AW27" s="253">
        <f t="shared" si="19"/>
        <v>0.46399999999999991</v>
      </c>
      <c r="AX27" s="253">
        <f t="shared" si="19"/>
        <v>0.51999999999999991</v>
      </c>
      <c r="AY27" s="253">
        <f t="shared" si="19"/>
        <v>0.57599999999999996</v>
      </c>
      <c r="AZ27" s="253">
        <f t="shared" si="19"/>
        <v>0.6319999999999999</v>
      </c>
      <c r="BA27" s="253">
        <f t="shared" si="19"/>
        <v>0.68799999999999983</v>
      </c>
      <c r="BB27" s="253">
        <f t="shared" si="19"/>
        <v>0.74399999999999988</v>
      </c>
      <c r="BC27" s="253">
        <f t="shared" si="19"/>
        <v>0.79999999999999993</v>
      </c>
      <c r="BD27" s="253">
        <f t="shared" si="19"/>
        <v>0.26250000000000001</v>
      </c>
      <c r="BE27" s="253">
        <f t="shared" si="19"/>
        <v>0.32374999999999998</v>
      </c>
      <c r="BF27" s="253">
        <f t="shared" si="19"/>
        <v>0.38499999999999995</v>
      </c>
      <c r="BG27" s="253">
        <f t="shared" si="19"/>
        <v>0.44625000000000004</v>
      </c>
      <c r="BH27" s="253">
        <f t="shared" si="19"/>
        <v>0.50749999999999995</v>
      </c>
      <c r="BI27" s="253">
        <f t="shared" si="19"/>
        <v>0.56874999999999987</v>
      </c>
      <c r="BJ27" s="253">
        <f t="shared" si="19"/>
        <v>0.63</v>
      </c>
      <c r="BK27" s="253">
        <f t="shared" si="19"/>
        <v>0.69124999999999992</v>
      </c>
      <c r="BL27" s="253">
        <f t="shared" si="19"/>
        <v>0.75249999999999995</v>
      </c>
      <c r="BM27" s="253">
        <f t="shared" si="19"/>
        <v>0.81374999999999997</v>
      </c>
      <c r="BN27" s="253">
        <f t="shared" si="19"/>
        <v>0.875</v>
      </c>
    </row>
    <row r="28" spans="1:77" x14ac:dyDescent="0.3">
      <c r="A28" s="126"/>
      <c r="B28" s="126" t="s">
        <v>115</v>
      </c>
      <c r="C28" s="101"/>
      <c r="D28" s="213" t="s">
        <v>24</v>
      </c>
      <c r="E28" s="308" t="s">
        <v>87</v>
      </c>
      <c r="F28" s="217">
        <f>F27*(1-F14)</f>
        <v>0.13263157894736838</v>
      </c>
      <c r="G28" s="218"/>
      <c r="H28" s="218"/>
      <c r="I28" s="218"/>
      <c r="J28" s="219"/>
      <c r="K28" s="108"/>
      <c r="L28" s="238">
        <f t="shared" ref="L28:BN28" si="20">L27*(1-L14)</f>
        <v>3.8181818181818171E-2</v>
      </c>
      <c r="M28" s="217">
        <f t="shared" si="20"/>
        <v>4.7090909090909079E-2</v>
      </c>
      <c r="N28" s="217">
        <f t="shared" si="20"/>
        <v>5.599999999999998E-2</v>
      </c>
      <c r="O28" s="217">
        <f t="shared" si="20"/>
        <v>6.4909090909090889E-2</v>
      </c>
      <c r="P28" s="217">
        <f t="shared" si="20"/>
        <v>7.3818181818181797E-2</v>
      </c>
      <c r="Q28" s="217">
        <f t="shared" si="20"/>
        <v>8.2727272727272691E-2</v>
      </c>
      <c r="R28" s="217">
        <f t="shared" si="20"/>
        <v>9.1636363636363613E-2</v>
      </c>
      <c r="S28" s="217">
        <f t="shared" si="20"/>
        <v>0.10054545454545452</v>
      </c>
      <c r="T28" s="217">
        <f t="shared" si="20"/>
        <v>0.1094545454545454</v>
      </c>
      <c r="U28" s="217">
        <f t="shared" si="20"/>
        <v>0.11836363636363634</v>
      </c>
      <c r="V28" s="217">
        <f t="shared" si="20"/>
        <v>0.12727272727272723</v>
      </c>
      <c r="W28" s="217">
        <f t="shared" si="20"/>
        <v>4.0975609756097556E-2</v>
      </c>
      <c r="X28" s="217">
        <f t="shared" si="20"/>
        <v>5.0536585365853648E-2</v>
      </c>
      <c r="Y28" s="217">
        <f t="shared" si="20"/>
        <v>6.009756097560974E-2</v>
      </c>
      <c r="Z28" s="217">
        <f t="shared" si="20"/>
        <v>6.9658536585365846E-2</v>
      </c>
      <c r="AA28" s="217">
        <f t="shared" si="20"/>
        <v>7.9219512195121938E-2</v>
      </c>
      <c r="AB28" s="217">
        <f t="shared" si="20"/>
        <v>8.8780487804878017E-2</v>
      </c>
      <c r="AC28" s="217">
        <f t="shared" si="20"/>
        <v>9.8341463414634123E-2</v>
      </c>
      <c r="AD28" s="217">
        <f t="shared" si="20"/>
        <v>0.10790243902439023</v>
      </c>
      <c r="AE28" s="217">
        <f t="shared" si="20"/>
        <v>0.11746341463414631</v>
      </c>
      <c r="AF28" s="217">
        <f t="shared" si="20"/>
        <v>0.12702439024390241</v>
      </c>
      <c r="AG28" s="217">
        <f t="shared" si="20"/>
        <v>0.13658536585365852</v>
      </c>
      <c r="AH28" s="217">
        <f t="shared" si="20"/>
        <v>4.4210526315789464E-2</v>
      </c>
      <c r="AI28" s="217">
        <f t="shared" si="20"/>
        <v>5.4526315789473666E-2</v>
      </c>
      <c r="AJ28" s="217">
        <f t="shared" si="20"/>
        <v>6.4842105263157868E-2</v>
      </c>
      <c r="AK28" s="217">
        <f t="shared" si="20"/>
        <v>7.515789473684209E-2</v>
      </c>
      <c r="AL28" s="217">
        <f t="shared" si="20"/>
        <v>8.5473684210526285E-2</v>
      </c>
      <c r="AM28" s="217">
        <f t="shared" si="20"/>
        <v>9.5789473684210494E-2</v>
      </c>
      <c r="AN28" s="217">
        <f t="shared" si="20"/>
        <v>0.1061052631578947</v>
      </c>
      <c r="AO28" s="217">
        <f t="shared" si="20"/>
        <v>0.11642105263157891</v>
      </c>
      <c r="AP28" s="217">
        <f t="shared" si="20"/>
        <v>0.12673684210526309</v>
      </c>
      <c r="AQ28" s="217">
        <f t="shared" si="20"/>
        <v>0.13705263157894734</v>
      </c>
      <c r="AR28" s="217">
        <f t="shared" si="20"/>
        <v>0.14736842105263154</v>
      </c>
      <c r="AS28" s="217">
        <f t="shared" si="20"/>
        <v>4.799999999999998E-2</v>
      </c>
      <c r="AT28" s="217">
        <f t="shared" si="20"/>
        <v>5.9199999999999982E-2</v>
      </c>
      <c r="AU28" s="217">
        <f t="shared" si="20"/>
        <v>7.0399999999999963E-2</v>
      </c>
      <c r="AV28" s="217">
        <f t="shared" si="20"/>
        <v>8.1599999999999978E-2</v>
      </c>
      <c r="AW28" s="217">
        <f t="shared" si="20"/>
        <v>9.2799999999999966E-2</v>
      </c>
      <c r="AX28" s="217">
        <f t="shared" si="20"/>
        <v>0.10399999999999995</v>
      </c>
      <c r="AY28" s="217">
        <f t="shared" si="20"/>
        <v>0.11519999999999997</v>
      </c>
      <c r="AZ28" s="217">
        <f t="shared" si="20"/>
        <v>0.12639999999999996</v>
      </c>
      <c r="BA28" s="217">
        <f t="shared" si="20"/>
        <v>0.13759999999999994</v>
      </c>
      <c r="BB28" s="217">
        <f t="shared" si="20"/>
        <v>0.14879999999999993</v>
      </c>
      <c r="BC28" s="217">
        <f t="shared" si="20"/>
        <v>0.15999999999999995</v>
      </c>
      <c r="BD28" s="217">
        <f t="shared" si="20"/>
        <v>5.2499999999999991E-2</v>
      </c>
      <c r="BE28" s="217">
        <f t="shared" si="20"/>
        <v>6.4749999999999988E-2</v>
      </c>
      <c r="BF28" s="217">
        <f t="shared" si="20"/>
        <v>7.6999999999999971E-2</v>
      </c>
      <c r="BG28" s="217">
        <f t="shared" si="20"/>
        <v>8.9249999999999982E-2</v>
      </c>
      <c r="BH28" s="217">
        <f t="shared" si="20"/>
        <v>0.10149999999999997</v>
      </c>
      <c r="BI28" s="217">
        <f t="shared" si="20"/>
        <v>0.11374999999999995</v>
      </c>
      <c r="BJ28" s="217">
        <f t="shared" si="20"/>
        <v>0.12599999999999997</v>
      </c>
      <c r="BK28" s="217">
        <f t="shared" si="20"/>
        <v>0.13824999999999996</v>
      </c>
      <c r="BL28" s="217">
        <f t="shared" si="20"/>
        <v>0.15049999999999997</v>
      </c>
      <c r="BM28" s="217">
        <f t="shared" si="20"/>
        <v>0.16274999999999995</v>
      </c>
      <c r="BN28" s="239">
        <f t="shared" si="20"/>
        <v>0.17499999999999996</v>
      </c>
    </row>
    <row r="29" spans="1:77" x14ac:dyDescent="0.3">
      <c r="A29" s="128"/>
      <c r="B29" s="220"/>
      <c r="C29" s="101"/>
      <c r="D29" s="213"/>
      <c r="E29" s="101"/>
      <c r="F29" s="221"/>
      <c r="G29" s="221"/>
      <c r="H29" s="221"/>
      <c r="I29" s="221"/>
      <c r="J29" s="222"/>
      <c r="K29" s="109"/>
      <c r="L29" s="240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30"/>
    </row>
    <row r="30" spans="1:77" ht="42" x14ac:dyDescent="0.3">
      <c r="A30" s="128"/>
      <c r="B30" s="126"/>
      <c r="C30" s="223"/>
      <c r="D30" s="213"/>
      <c r="E30" s="224" t="s">
        <v>28</v>
      </c>
      <c r="F30" s="225"/>
      <c r="G30" s="225"/>
      <c r="H30" s="225"/>
      <c r="I30" s="225"/>
      <c r="J30" s="226"/>
      <c r="K30" s="107"/>
      <c r="L30" s="241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27"/>
    </row>
    <row r="31" spans="1:77" ht="28" x14ac:dyDescent="0.3">
      <c r="A31" s="128"/>
      <c r="B31" s="129"/>
      <c r="C31" s="78"/>
      <c r="D31" s="13" t="s">
        <v>27</v>
      </c>
      <c r="E31" s="119" t="s">
        <v>74</v>
      </c>
      <c r="F31" s="118">
        <f>F25*F11</f>
        <v>4.2105263157894735</v>
      </c>
      <c r="G31" s="218"/>
      <c r="H31" s="218"/>
      <c r="I31" s="218"/>
      <c r="J31" s="219"/>
      <c r="K31" s="2"/>
      <c r="L31" s="242">
        <f t="shared" ref="L31:AQ31" si="21">L25*L11</f>
        <v>3.6363636363636362</v>
      </c>
      <c r="M31" s="60">
        <f t="shared" si="21"/>
        <v>3.6363636363636362</v>
      </c>
      <c r="N31" s="60">
        <f t="shared" si="21"/>
        <v>3.6363636363636362</v>
      </c>
      <c r="O31" s="60">
        <f t="shared" si="21"/>
        <v>3.6363636363636362</v>
      </c>
      <c r="P31" s="60">
        <f t="shared" si="21"/>
        <v>3.6363636363636362</v>
      </c>
      <c r="Q31" s="60">
        <f t="shared" si="21"/>
        <v>3.6363636363636362</v>
      </c>
      <c r="R31" s="60">
        <f t="shared" si="21"/>
        <v>3.6363636363636362</v>
      </c>
      <c r="S31" s="60">
        <f t="shared" si="21"/>
        <v>3.6363636363636362</v>
      </c>
      <c r="T31" s="60">
        <f t="shared" si="21"/>
        <v>3.6363636363636362</v>
      </c>
      <c r="U31" s="60">
        <f t="shared" si="21"/>
        <v>3.6363636363636362</v>
      </c>
      <c r="V31" s="60">
        <f t="shared" si="21"/>
        <v>3.6363636363636362</v>
      </c>
      <c r="W31" s="60">
        <f t="shared" si="21"/>
        <v>3.9024390243902443</v>
      </c>
      <c r="X31" s="60">
        <f t="shared" si="21"/>
        <v>3.9024390243902443</v>
      </c>
      <c r="Y31" s="60">
        <f t="shared" si="21"/>
        <v>3.9024390243902443</v>
      </c>
      <c r="Z31" s="60">
        <f t="shared" si="21"/>
        <v>3.9024390243902443</v>
      </c>
      <c r="AA31" s="60">
        <f t="shared" si="21"/>
        <v>3.9024390243902443</v>
      </c>
      <c r="AB31" s="60">
        <f t="shared" si="21"/>
        <v>3.9024390243902443</v>
      </c>
      <c r="AC31" s="60">
        <f t="shared" si="21"/>
        <v>3.9024390243902443</v>
      </c>
      <c r="AD31" s="60">
        <f t="shared" si="21"/>
        <v>3.9024390243902443</v>
      </c>
      <c r="AE31" s="60">
        <f t="shared" si="21"/>
        <v>3.9024390243902443</v>
      </c>
      <c r="AF31" s="60">
        <f t="shared" si="21"/>
        <v>3.9024390243902443</v>
      </c>
      <c r="AG31" s="60">
        <f t="shared" si="21"/>
        <v>3.9024390243902443</v>
      </c>
      <c r="AH31" s="60">
        <f t="shared" si="21"/>
        <v>4.2105263157894735</v>
      </c>
      <c r="AI31" s="60">
        <f t="shared" si="21"/>
        <v>4.2105263157894735</v>
      </c>
      <c r="AJ31" s="60">
        <f t="shared" si="21"/>
        <v>4.2105263157894735</v>
      </c>
      <c r="AK31" s="60">
        <f t="shared" si="21"/>
        <v>4.2105263157894735</v>
      </c>
      <c r="AL31" s="60">
        <f t="shared" si="21"/>
        <v>4.2105263157894735</v>
      </c>
      <c r="AM31" s="60">
        <f t="shared" si="21"/>
        <v>4.2105263157894735</v>
      </c>
      <c r="AN31" s="60">
        <f t="shared" si="21"/>
        <v>4.2105263157894735</v>
      </c>
      <c r="AO31" s="60">
        <f t="shared" si="21"/>
        <v>4.2105263157894735</v>
      </c>
      <c r="AP31" s="60">
        <f t="shared" si="21"/>
        <v>4.2105263157894735</v>
      </c>
      <c r="AQ31" s="60">
        <f t="shared" si="21"/>
        <v>4.2105263157894735</v>
      </c>
      <c r="AR31" s="60">
        <f t="shared" ref="AR31:BN31" si="22">AR25*AR11</f>
        <v>4.2105263157894735</v>
      </c>
      <c r="AS31" s="60">
        <f t="shared" si="22"/>
        <v>4.5714285714285712</v>
      </c>
      <c r="AT31" s="60">
        <f t="shared" si="22"/>
        <v>4.5714285714285712</v>
      </c>
      <c r="AU31" s="60">
        <f t="shared" si="22"/>
        <v>4.5714285714285712</v>
      </c>
      <c r="AV31" s="60">
        <f t="shared" si="22"/>
        <v>4.5714285714285712</v>
      </c>
      <c r="AW31" s="60">
        <f t="shared" si="22"/>
        <v>4.5714285714285712</v>
      </c>
      <c r="AX31" s="60">
        <f t="shared" si="22"/>
        <v>4.5714285714285712</v>
      </c>
      <c r="AY31" s="60">
        <f t="shared" si="22"/>
        <v>4.5714285714285712</v>
      </c>
      <c r="AZ31" s="60">
        <f t="shared" si="22"/>
        <v>4.5714285714285712</v>
      </c>
      <c r="BA31" s="60">
        <f t="shared" si="22"/>
        <v>4.5714285714285712</v>
      </c>
      <c r="BB31" s="60">
        <f t="shared" si="22"/>
        <v>4.5714285714285712</v>
      </c>
      <c r="BC31" s="60">
        <f t="shared" si="22"/>
        <v>4.5714285714285712</v>
      </c>
      <c r="BD31" s="60">
        <f t="shared" si="22"/>
        <v>5</v>
      </c>
      <c r="BE31" s="60">
        <f t="shared" si="22"/>
        <v>5</v>
      </c>
      <c r="BF31" s="60">
        <f t="shared" si="22"/>
        <v>5</v>
      </c>
      <c r="BG31" s="60">
        <f t="shared" si="22"/>
        <v>5</v>
      </c>
      <c r="BH31" s="60">
        <f t="shared" si="22"/>
        <v>5</v>
      </c>
      <c r="BI31" s="60">
        <f t="shared" si="22"/>
        <v>5</v>
      </c>
      <c r="BJ31" s="60">
        <f t="shared" si="22"/>
        <v>5</v>
      </c>
      <c r="BK31" s="60">
        <f t="shared" si="22"/>
        <v>5</v>
      </c>
      <c r="BL31" s="60">
        <f t="shared" si="22"/>
        <v>5</v>
      </c>
      <c r="BM31" s="60">
        <f t="shared" si="22"/>
        <v>5</v>
      </c>
      <c r="BN31" s="95">
        <f t="shared" si="22"/>
        <v>5</v>
      </c>
    </row>
    <row r="32" spans="1:77" ht="42" x14ac:dyDescent="0.3">
      <c r="A32" s="128"/>
      <c r="B32" s="130"/>
      <c r="C32" s="101"/>
      <c r="D32" s="213" t="s">
        <v>23</v>
      </c>
      <c r="E32" s="214" t="s">
        <v>73</v>
      </c>
      <c r="F32" s="248">
        <f>F26*F17</f>
        <v>0.66315789473684195</v>
      </c>
      <c r="G32" s="218"/>
      <c r="H32" s="218"/>
      <c r="I32" s="218"/>
      <c r="J32" s="219"/>
      <c r="K32" s="2"/>
      <c r="L32" s="309">
        <f t="shared" ref="L32:AQ32" si="23">L26*L17</f>
        <v>4.0090909090909088</v>
      </c>
      <c r="M32" s="310">
        <f t="shared" si="23"/>
        <v>3.6081818181818179</v>
      </c>
      <c r="N32" s="310">
        <f t="shared" si="23"/>
        <v>3.2072727272727275</v>
      </c>
      <c r="O32" s="310">
        <f t="shared" si="23"/>
        <v>2.8063636363636366</v>
      </c>
      <c r="P32" s="310">
        <f t="shared" si="23"/>
        <v>2.4054545454545453</v>
      </c>
      <c r="Q32" s="310">
        <f t="shared" si="23"/>
        <v>2.0045454545454549</v>
      </c>
      <c r="R32" s="310">
        <f t="shared" si="23"/>
        <v>1.6036363636363637</v>
      </c>
      <c r="S32" s="310">
        <f t="shared" si="23"/>
        <v>1.2027272727272733</v>
      </c>
      <c r="T32" s="310">
        <f t="shared" si="23"/>
        <v>0.80181818181818243</v>
      </c>
      <c r="U32" s="310">
        <f t="shared" si="23"/>
        <v>0.40090909090909121</v>
      </c>
      <c r="V32" s="310">
        <f t="shared" si="23"/>
        <v>0</v>
      </c>
      <c r="W32" s="310">
        <f t="shared" si="23"/>
        <v>4.3024390243902442</v>
      </c>
      <c r="X32" s="310">
        <f t="shared" si="23"/>
        <v>3.8721951219512198</v>
      </c>
      <c r="Y32" s="310">
        <f t="shared" si="23"/>
        <v>3.4419512195121955</v>
      </c>
      <c r="Z32" s="310">
        <f t="shared" si="23"/>
        <v>3.0117073170731707</v>
      </c>
      <c r="AA32" s="310">
        <f t="shared" si="23"/>
        <v>2.5814634146341469</v>
      </c>
      <c r="AB32" s="310">
        <f t="shared" si="23"/>
        <v>2.1512195121951225</v>
      </c>
      <c r="AC32" s="310">
        <f t="shared" si="23"/>
        <v>1.7209756097560978</v>
      </c>
      <c r="AD32" s="310">
        <f t="shared" si="23"/>
        <v>1.2907317073170739</v>
      </c>
      <c r="AE32" s="310">
        <f t="shared" si="23"/>
        <v>0.86048780487804966</v>
      </c>
      <c r="AF32" s="310">
        <f t="shared" si="23"/>
        <v>0.43024390243902483</v>
      </c>
      <c r="AG32" s="310">
        <f t="shared" si="23"/>
        <v>0</v>
      </c>
      <c r="AH32" s="310">
        <f t="shared" si="23"/>
        <v>4.6421052631578945</v>
      </c>
      <c r="AI32" s="310">
        <f t="shared" si="23"/>
        <v>4.1778947368421049</v>
      </c>
      <c r="AJ32" s="310">
        <f t="shared" si="23"/>
        <v>3.7136842105263161</v>
      </c>
      <c r="AK32" s="310">
        <f t="shared" si="23"/>
        <v>3.2494736842105261</v>
      </c>
      <c r="AL32" s="310">
        <f t="shared" si="23"/>
        <v>2.7852631578947369</v>
      </c>
      <c r="AM32" s="310">
        <f t="shared" si="23"/>
        <v>2.3210526315789477</v>
      </c>
      <c r="AN32" s="310">
        <f t="shared" si="23"/>
        <v>1.8568421052631581</v>
      </c>
      <c r="AO32" s="310">
        <f t="shared" si="23"/>
        <v>1.3926315789473689</v>
      </c>
      <c r="AP32" s="310">
        <f t="shared" si="23"/>
        <v>0.9284210526315797</v>
      </c>
      <c r="AQ32" s="310">
        <f t="shared" si="23"/>
        <v>0.46421052631578985</v>
      </c>
      <c r="AR32" s="310">
        <f t="shared" ref="AR32:BN32" si="24">AR26*AR17</f>
        <v>0</v>
      </c>
      <c r="AS32" s="310">
        <f t="shared" si="24"/>
        <v>5.0399999999999991</v>
      </c>
      <c r="AT32" s="310">
        <f t="shared" si="24"/>
        <v>4.5359999999999996</v>
      </c>
      <c r="AU32" s="310">
        <f t="shared" si="24"/>
        <v>4.032</v>
      </c>
      <c r="AV32" s="310">
        <f t="shared" si="24"/>
        <v>3.5279999999999996</v>
      </c>
      <c r="AW32" s="310">
        <f t="shared" si="24"/>
        <v>3.024</v>
      </c>
      <c r="AX32" s="310">
        <f t="shared" si="24"/>
        <v>2.5200000000000005</v>
      </c>
      <c r="AY32" s="310">
        <f t="shared" si="24"/>
        <v>2.016</v>
      </c>
      <c r="AZ32" s="310">
        <f t="shared" si="24"/>
        <v>1.5120000000000005</v>
      </c>
      <c r="BA32" s="310">
        <f t="shared" si="24"/>
        <v>1.0080000000000007</v>
      </c>
      <c r="BB32" s="310">
        <f t="shared" si="24"/>
        <v>0.50400000000000034</v>
      </c>
      <c r="BC32" s="310">
        <f t="shared" si="24"/>
        <v>0</v>
      </c>
      <c r="BD32" s="310">
        <f t="shared" si="24"/>
        <v>5.5124999999999993</v>
      </c>
      <c r="BE32" s="310">
        <f t="shared" si="24"/>
        <v>4.9612499999999997</v>
      </c>
      <c r="BF32" s="310">
        <f t="shared" si="24"/>
        <v>4.41</v>
      </c>
      <c r="BG32" s="310">
        <f t="shared" si="24"/>
        <v>3.8587499999999997</v>
      </c>
      <c r="BH32" s="310">
        <f t="shared" si="24"/>
        <v>3.3075000000000006</v>
      </c>
      <c r="BI32" s="310">
        <f t="shared" si="24"/>
        <v>2.7562500000000005</v>
      </c>
      <c r="BJ32" s="310">
        <f t="shared" si="24"/>
        <v>2.2050000000000001</v>
      </c>
      <c r="BK32" s="310">
        <f t="shared" si="24"/>
        <v>1.6537500000000007</v>
      </c>
      <c r="BL32" s="310">
        <f t="shared" si="24"/>
        <v>1.1025000000000009</v>
      </c>
      <c r="BM32" s="310">
        <f t="shared" si="24"/>
        <v>0.55125000000000046</v>
      </c>
      <c r="BN32" s="311">
        <f t="shared" si="24"/>
        <v>0</v>
      </c>
    </row>
    <row r="33" spans="1:76" ht="42" x14ac:dyDescent="0.3">
      <c r="A33" s="128"/>
      <c r="B33" s="130"/>
      <c r="C33" s="101"/>
      <c r="D33" s="213" t="s">
        <v>22</v>
      </c>
      <c r="E33" s="214" t="s">
        <v>72</v>
      </c>
      <c r="F33" s="228">
        <f>F27*F15</f>
        <v>3.3157894736842102</v>
      </c>
      <c r="G33" s="218"/>
      <c r="H33" s="218"/>
      <c r="I33" s="218"/>
      <c r="J33" s="219"/>
      <c r="K33" s="2"/>
      <c r="L33" s="243">
        <f t="shared" ref="L33:AQ33" si="25">L27*L15</f>
        <v>0.95454545454545447</v>
      </c>
      <c r="M33" s="229">
        <f t="shared" si="25"/>
        <v>1.1772727272727272</v>
      </c>
      <c r="N33" s="229">
        <f t="shared" si="25"/>
        <v>1.4</v>
      </c>
      <c r="O33" s="229">
        <f t="shared" si="25"/>
        <v>1.6227272727272726</v>
      </c>
      <c r="P33" s="229">
        <f t="shared" si="25"/>
        <v>1.8454545454545455</v>
      </c>
      <c r="Q33" s="229">
        <f t="shared" si="25"/>
        <v>2.0681818181818179</v>
      </c>
      <c r="R33" s="229">
        <f t="shared" si="25"/>
        <v>2.2909090909090906</v>
      </c>
      <c r="S33" s="229">
        <f t="shared" si="25"/>
        <v>2.5136363636363637</v>
      </c>
      <c r="T33" s="229">
        <f t="shared" si="25"/>
        <v>2.7363636363636354</v>
      </c>
      <c r="U33" s="229">
        <f t="shared" si="25"/>
        <v>2.959090909090909</v>
      </c>
      <c r="V33" s="229">
        <f t="shared" si="25"/>
        <v>3.1818181818181817</v>
      </c>
      <c r="W33" s="229">
        <f t="shared" si="25"/>
        <v>1.024390243902439</v>
      </c>
      <c r="X33" s="229">
        <f t="shared" si="25"/>
        <v>1.2634146341463415</v>
      </c>
      <c r="Y33" s="229">
        <f t="shared" si="25"/>
        <v>1.5024390243902439</v>
      </c>
      <c r="Z33" s="229">
        <f t="shared" si="25"/>
        <v>1.7414634146341466</v>
      </c>
      <c r="AA33" s="229">
        <f t="shared" si="25"/>
        <v>1.9804878048780488</v>
      </c>
      <c r="AB33" s="229">
        <f t="shared" si="25"/>
        <v>2.219512195121951</v>
      </c>
      <c r="AC33" s="229">
        <f t="shared" si="25"/>
        <v>2.4585365853658536</v>
      </c>
      <c r="AD33" s="229">
        <f t="shared" si="25"/>
        <v>2.6975609756097563</v>
      </c>
      <c r="AE33" s="229">
        <f t="shared" si="25"/>
        <v>2.9365853658536585</v>
      </c>
      <c r="AF33" s="229">
        <f t="shared" si="25"/>
        <v>3.1756097560975611</v>
      </c>
      <c r="AG33" s="229">
        <f t="shared" si="25"/>
        <v>3.4146341463414638</v>
      </c>
      <c r="AH33" s="229">
        <f t="shared" si="25"/>
        <v>1.1052631578947367</v>
      </c>
      <c r="AI33" s="229">
        <f t="shared" si="25"/>
        <v>1.3631578947368419</v>
      </c>
      <c r="AJ33" s="229">
        <f t="shared" si="25"/>
        <v>1.6210526315789471</v>
      </c>
      <c r="AK33" s="229">
        <f t="shared" si="25"/>
        <v>1.8789473684210525</v>
      </c>
      <c r="AL33" s="229">
        <f t="shared" si="25"/>
        <v>2.1368421052631574</v>
      </c>
      <c r="AM33" s="229">
        <f t="shared" si="25"/>
        <v>2.3947368421052628</v>
      </c>
      <c r="AN33" s="229">
        <f t="shared" si="25"/>
        <v>2.6526315789473682</v>
      </c>
      <c r="AO33" s="229">
        <f t="shared" si="25"/>
        <v>2.9105263157894736</v>
      </c>
      <c r="AP33" s="229">
        <f t="shared" si="25"/>
        <v>3.1684210526315781</v>
      </c>
      <c r="AQ33" s="229">
        <f t="shared" si="25"/>
        <v>3.426315789473684</v>
      </c>
      <c r="AR33" s="229">
        <f t="shared" ref="AR33:BN33" si="26">AR27*AR15</f>
        <v>3.6842105263157894</v>
      </c>
      <c r="AS33" s="229">
        <f t="shared" si="26"/>
        <v>1.1999999999999997</v>
      </c>
      <c r="AT33" s="229">
        <f t="shared" si="26"/>
        <v>1.48</v>
      </c>
      <c r="AU33" s="229">
        <f t="shared" si="26"/>
        <v>1.7599999999999996</v>
      </c>
      <c r="AV33" s="229">
        <f t="shared" si="26"/>
        <v>2.04</v>
      </c>
      <c r="AW33" s="229">
        <f t="shared" si="26"/>
        <v>2.3199999999999994</v>
      </c>
      <c r="AX33" s="229">
        <f t="shared" si="26"/>
        <v>2.5999999999999996</v>
      </c>
      <c r="AY33" s="229">
        <f t="shared" si="26"/>
        <v>2.88</v>
      </c>
      <c r="AZ33" s="229">
        <f t="shared" si="26"/>
        <v>3.1599999999999993</v>
      </c>
      <c r="BA33" s="229">
        <f t="shared" si="26"/>
        <v>3.4399999999999991</v>
      </c>
      <c r="BB33" s="229">
        <f t="shared" si="26"/>
        <v>3.7199999999999993</v>
      </c>
      <c r="BC33" s="229">
        <f t="shared" si="26"/>
        <v>3.9999999999999996</v>
      </c>
      <c r="BD33" s="229">
        <f t="shared" si="26"/>
        <v>1.3125</v>
      </c>
      <c r="BE33" s="229">
        <f t="shared" si="26"/>
        <v>1.6187499999999999</v>
      </c>
      <c r="BF33" s="229">
        <f t="shared" si="26"/>
        <v>1.9249999999999998</v>
      </c>
      <c r="BG33" s="229">
        <f t="shared" si="26"/>
        <v>2.2312500000000002</v>
      </c>
      <c r="BH33" s="229">
        <f t="shared" si="26"/>
        <v>2.5374999999999996</v>
      </c>
      <c r="BI33" s="229">
        <f t="shared" si="26"/>
        <v>2.8437499999999991</v>
      </c>
      <c r="BJ33" s="229">
        <f t="shared" si="26"/>
        <v>3.15</v>
      </c>
      <c r="BK33" s="229">
        <f t="shared" si="26"/>
        <v>3.4562499999999998</v>
      </c>
      <c r="BL33" s="229">
        <f t="shared" si="26"/>
        <v>3.7624999999999997</v>
      </c>
      <c r="BM33" s="229">
        <f t="shared" si="26"/>
        <v>4.0687499999999996</v>
      </c>
      <c r="BN33" s="230">
        <f t="shared" si="26"/>
        <v>4.375</v>
      </c>
    </row>
    <row r="34" spans="1:76" ht="28" x14ac:dyDescent="0.3">
      <c r="A34" s="128"/>
      <c r="B34" s="231"/>
      <c r="C34" s="17"/>
      <c r="D34" s="232" t="s">
        <v>24</v>
      </c>
      <c r="E34" s="17" t="s">
        <v>88</v>
      </c>
      <c r="F34" s="233">
        <f>F28*F17</f>
        <v>1.1936842105263155</v>
      </c>
      <c r="G34" s="218"/>
      <c r="H34" s="218"/>
      <c r="I34" s="218"/>
      <c r="J34" s="219"/>
      <c r="K34" s="2"/>
      <c r="L34" s="244">
        <f t="shared" ref="L34:AQ34" si="27">L28*L17</f>
        <v>0.34363636363636352</v>
      </c>
      <c r="M34" s="234">
        <f t="shared" si="27"/>
        <v>0.42381818181818171</v>
      </c>
      <c r="N34" s="234">
        <f t="shared" si="27"/>
        <v>0.50399999999999978</v>
      </c>
      <c r="O34" s="234">
        <f t="shared" si="27"/>
        <v>0.58418181818181802</v>
      </c>
      <c r="P34" s="234">
        <f t="shared" si="27"/>
        <v>0.66436363636363616</v>
      </c>
      <c r="Q34" s="234">
        <f t="shared" si="27"/>
        <v>0.74454545454545418</v>
      </c>
      <c r="R34" s="234">
        <f t="shared" si="27"/>
        <v>0.82472727272727253</v>
      </c>
      <c r="S34" s="234">
        <f t="shared" si="27"/>
        <v>0.90490909090909066</v>
      </c>
      <c r="T34" s="234">
        <f t="shared" si="27"/>
        <v>0.98509090909090857</v>
      </c>
      <c r="U34" s="234">
        <f t="shared" si="27"/>
        <v>1.0652727272727271</v>
      </c>
      <c r="V34" s="234">
        <f t="shared" si="27"/>
        <v>1.1454545454545451</v>
      </c>
      <c r="W34" s="234">
        <f t="shared" si="27"/>
        <v>0.36878048780487799</v>
      </c>
      <c r="X34" s="234">
        <f t="shared" si="27"/>
        <v>0.45482926829268283</v>
      </c>
      <c r="Y34" s="234">
        <f t="shared" si="27"/>
        <v>0.54087804878048762</v>
      </c>
      <c r="Z34" s="234">
        <f t="shared" si="27"/>
        <v>0.62692682926829257</v>
      </c>
      <c r="AA34" s="234">
        <f t="shared" si="27"/>
        <v>0.71297560975609742</v>
      </c>
      <c r="AB34" s="234">
        <f t="shared" si="27"/>
        <v>0.79902439024390215</v>
      </c>
      <c r="AC34" s="234">
        <f t="shared" si="27"/>
        <v>0.8850731707317071</v>
      </c>
      <c r="AD34" s="234">
        <f t="shared" si="27"/>
        <v>0.97112195121951206</v>
      </c>
      <c r="AE34" s="234">
        <f t="shared" si="27"/>
        <v>1.0571707317073167</v>
      </c>
      <c r="AF34" s="234">
        <f t="shared" si="27"/>
        <v>1.1432195121951216</v>
      </c>
      <c r="AG34" s="234">
        <f t="shared" si="27"/>
        <v>1.2292682926829266</v>
      </c>
      <c r="AH34" s="234">
        <f t="shared" si="27"/>
        <v>0.39789473684210519</v>
      </c>
      <c r="AI34" s="234">
        <f t="shared" si="27"/>
        <v>0.49073684210526297</v>
      </c>
      <c r="AJ34" s="234">
        <f t="shared" si="27"/>
        <v>0.58357894736842075</v>
      </c>
      <c r="AK34" s="234">
        <f t="shared" si="27"/>
        <v>0.67642105263157881</v>
      </c>
      <c r="AL34" s="234">
        <f t="shared" si="27"/>
        <v>0.76926315789473654</v>
      </c>
      <c r="AM34" s="234">
        <f t="shared" si="27"/>
        <v>0.86210526315789449</v>
      </c>
      <c r="AN34" s="234">
        <f t="shared" si="27"/>
        <v>0.95494736842105232</v>
      </c>
      <c r="AO34" s="234">
        <f t="shared" si="27"/>
        <v>1.0477894736842102</v>
      </c>
      <c r="AP34" s="234">
        <f t="shared" si="27"/>
        <v>1.1406315789473678</v>
      </c>
      <c r="AQ34" s="234">
        <f t="shared" si="27"/>
        <v>1.2334736842105261</v>
      </c>
      <c r="AR34" s="234">
        <f t="shared" ref="AR34:BN34" si="28">AR28*AR17</f>
        <v>1.3263157894736839</v>
      </c>
      <c r="AS34" s="234">
        <f t="shared" si="28"/>
        <v>0.43199999999999983</v>
      </c>
      <c r="AT34" s="234">
        <f t="shared" si="28"/>
        <v>0.53279999999999983</v>
      </c>
      <c r="AU34" s="234">
        <f t="shared" si="28"/>
        <v>0.63359999999999972</v>
      </c>
      <c r="AV34" s="234">
        <f t="shared" si="28"/>
        <v>0.73439999999999983</v>
      </c>
      <c r="AW34" s="234">
        <f t="shared" si="28"/>
        <v>0.83519999999999972</v>
      </c>
      <c r="AX34" s="234">
        <f t="shared" si="28"/>
        <v>0.93599999999999961</v>
      </c>
      <c r="AY34" s="234">
        <f t="shared" si="28"/>
        <v>1.0367999999999997</v>
      </c>
      <c r="AZ34" s="234">
        <f t="shared" si="28"/>
        <v>1.1375999999999995</v>
      </c>
      <c r="BA34" s="234">
        <f t="shared" si="28"/>
        <v>1.2383999999999995</v>
      </c>
      <c r="BB34" s="234">
        <f t="shared" si="28"/>
        <v>1.3391999999999995</v>
      </c>
      <c r="BC34" s="234">
        <f t="shared" si="28"/>
        <v>1.4399999999999995</v>
      </c>
      <c r="BD34" s="234">
        <f t="shared" si="28"/>
        <v>0.47249999999999992</v>
      </c>
      <c r="BE34" s="234">
        <f t="shared" si="28"/>
        <v>0.58274999999999988</v>
      </c>
      <c r="BF34" s="234">
        <f t="shared" si="28"/>
        <v>0.69299999999999973</v>
      </c>
      <c r="BG34" s="234">
        <f t="shared" si="28"/>
        <v>0.8032499999999998</v>
      </c>
      <c r="BH34" s="234">
        <f t="shared" si="28"/>
        <v>0.91349999999999965</v>
      </c>
      <c r="BI34" s="234">
        <f t="shared" si="28"/>
        <v>1.0237499999999995</v>
      </c>
      <c r="BJ34" s="234">
        <f t="shared" si="28"/>
        <v>1.1339999999999997</v>
      </c>
      <c r="BK34" s="234">
        <f t="shared" si="28"/>
        <v>1.2442499999999996</v>
      </c>
      <c r="BL34" s="234">
        <f t="shared" si="28"/>
        <v>1.3544999999999998</v>
      </c>
      <c r="BM34" s="234">
        <f t="shared" si="28"/>
        <v>1.4647499999999996</v>
      </c>
      <c r="BN34" s="235">
        <f t="shared" si="28"/>
        <v>1.5749999999999997</v>
      </c>
    </row>
    <row r="35" spans="1:76" ht="14.5" thickBot="1" x14ac:dyDescent="0.35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</row>
    <row r="36" spans="1:76" ht="28.5" thickBot="1" x14ac:dyDescent="0.35">
      <c r="B36" s="64"/>
      <c r="C36" s="79"/>
      <c r="D36" s="65"/>
      <c r="E36" s="68" t="s">
        <v>29</v>
      </c>
      <c r="F36" s="66">
        <f>SUM(F31:F35)</f>
        <v>9.3831578947368417</v>
      </c>
      <c r="G36" s="66">
        <f>SUM(G31:G35)</f>
        <v>0</v>
      </c>
      <c r="H36" s="66">
        <f>SUM(H31:H35)</f>
        <v>0</v>
      </c>
      <c r="I36" s="66">
        <f>SUM(I31:I35)</f>
        <v>0</v>
      </c>
      <c r="J36" s="66">
        <f>SUM(J31:J35)</f>
        <v>0</v>
      </c>
      <c r="K36" s="66"/>
      <c r="L36" s="66">
        <f t="shared" ref="L36:BN36" si="29">SUM(L31:L35)</f>
        <v>8.9436363636363634</v>
      </c>
      <c r="M36" s="66">
        <f t="shared" si="29"/>
        <v>8.8456363636363644</v>
      </c>
      <c r="N36" s="66">
        <f t="shared" si="29"/>
        <v>8.7476363636363637</v>
      </c>
      <c r="O36" s="66">
        <f t="shared" si="29"/>
        <v>8.6496363636363647</v>
      </c>
      <c r="P36" s="66">
        <f t="shared" si="29"/>
        <v>8.5516363636363621</v>
      </c>
      <c r="Q36" s="66">
        <f t="shared" si="29"/>
        <v>8.4536363636363632</v>
      </c>
      <c r="R36" s="66">
        <f t="shared" si="29"/>
        <v>8.3556363636363642</v>
      </c>
      <c r="S36" s="66">
        <f t="shared" si="29"/>
        <v>8.2576363636363634</v>
      </c>
      <c r="T36" s="66">
        <f t="shared" si="29"/>
        <v>8.1596363636363627</v>
      </c>
      <c r="U36" s="66">
        <f t="shared" si="29"/>
        <v>8.0616363636363637</v>
      </c>
      <c r="V36" s="66">
        <f t="shared" si="29"/>
        <v>7.963636363636363</v>
      </c>
      <c r="W36" s="66">
        <f t="shared" si="29"/>
        <v>9.5980487804878063</v>
      </c>
      <c r="X36" s="66">
        <f t="shared" si="29"/>
        <v>9.4928780487804882</v>
      </c>
      <c r="Y36" s="66">
        <f t="shared" si="29"/>
        <v>9.387707317073172</v>
      </c>
      <c r="Z36" s="66">
        <f t="shared" si="29"/>
        <v>9.2825365853658539</v>
      </c>
      <c r="AA36" s="66">
        <f t="shared" si="29"/>
        <v>9.1773658536585376</v>
      </c>
      <c r="AB36" s="66">
        <f t="shared" si="29"/>
        <v>9.0721951219512196</v>
      </c>
      <c r="AC36" s="66">
        <f t="shared" si="29"/>
        <v>8.9670243902439015</v>
      </c>
      <c r="AD36" s="66">
        <f t="shared" si="29"/>
        <v>8.861853658536587</v>
      </c>
      <c r="AE36" s="66">
        <f t="shared" si="29"/>
        <v>8.756682926829269</v>
      </c>
      <c r="AF36" s="66">
        <f t="shared" si="29"/>
        <v>8.6515121951219527</v>
      </c>
      <c r="AG36" s="66">
        <f t="shared" si="29"/>
        <v>8.5463414634146346</v>
      </c>
      <c r="AH36" s="66">
        <f t="shared" si="29"/>
        <v>10.355789473684208</v>
      </c>
      <c r="AI36" s="66">
        <f t="shared" si="29"/>
        <v>10.242315789473684</v>
      </c>
      <c r="AJ36" s="66">
        <f t="shared" si="29"/>
        <v>10.128842105263159</v>
      </c>
      <c r="AK36" s="66">
        <f t="shared" si="29"/>
        <v>10.01536842105263</v>
      </c>
      <c r="AL36" s="66">
        <f t="shared" si="29"/>
        <v>9.9018947368421042</v>
      </c>
      <c r="AM36" s="66">
        <f t="shared" si="29"/>
        <v>9.7884210526315787</v>
      </c>
      <c r="AN36" s="66">
        <f t="shared" si="29"/>
        <v>9.6749473684210514</v>
      </c>
      <c r="AO36" s="66">
        <f t="shared" si="29"/>
        <v>9.5614736842105259</v>
      </c>
      <c r="AP36" s="66">
        <f t="shared" si="29"/>
        <v>9.4479999999999986</v>
      </c>
      <c r="AQ36" s="66">
        <f t="shared" si="29"/>
        <v>9.3345263157894731</v>
      </c>
      <c r="AR36" s="66">
        <f t="shared" si="29"/>
        <v>9.2210526315789458</v>
      </c>
      <c r="AS36" s="66">
        <f t="shared" si="29"/>
        <v>11.24342857142857</v>
      </c>
      <c r="AT36" s="66">
        <f t="shared" si="29"/>
        <v>11.120228571428571</v>
      </c>
      <c r="AU36" s="66">
        <f t="shared" si="29"/>
        <v>10.99702857142857</v>
      </c>
      <c r="AV36" s="66">
        <f t="shared" si="29"/>
        <v>10.87382857142857</v>
      </c>
      <c r="AW36" s="66">
        <f t="shared" si="29"/>
        <v>10.750628571428571</v>
      </c>
      <c r="AX36" s="66">
        <f t="shared" si="29"/>
        <v>10.62742857142857</v>
      </c>
      <c r="AY36" s="66">
        <f t="shared" si="29"/>
        <v>10.50422857142857</v>
      </c>
      <c r="AZ36" s="66">
        <f t="shared" si="29"/>
        <v>10.381028571428569</v>
      </c>
      <c r="BA36" s="66">
        <f t="shared" si="29"/>
        <v>10.257828571428572</v>
      </c>
      <c r="BB36" s="66">
        <f t="shared" si="29"/>
        <v>10.134628571428571</v>
      </c>
      <c r="BC36" s="66">
        <f t="shared" si="29"/>
        <v>10.011428571428571</v>
      </c>
      <c r="BD36" s="66">
        <f t="shared" si="29"/>
        <v>12.297499999999999</v>
      </c>
      <c r="BE36" s="66">
        <f t="shared" si="29"/>
        <v>12.162749999999999</v>
      </c>
      <c r="BF36" s="66">
        <f t="shared" si="29"/>
        <v>12.028</v>
      </c>
      <c r="BG36" s="66">
        <f t="shared" si="29"/>
        <v>11.89325</v>
      </c>
      <c r="BH36" s="66">
        <f t="shared" si="29"/>
        <v>11.7585</v>
      </c>
      <c r="BI36" s="66">
        <f t="shared" si="29"/>
        <v>11.623749999999999</v>
      </c>
      <c r="BJ36" s="66">
        <f t="shared" si="29"/>
        <v>11.489000000000001</v>
      </c>
      <c r="BK36" s="66">
        <f t="shared" si="29"/>
        <v>11.354249999999999</v>
      </c>
      <c r="BL36" s="66">
        <f t="shared" si="29"/>
        <v>11.2195</v>
      </c>
      <c r="BM36" s="66">
        <f t="shared" si="29"/>
        <v>11.08475</v>
      </c>
      <c r="BN36" s="66">
        <f t="shared" si="29"/>
        <v>10.95</v>
      </c>
    </row>
    <row r="37" spans="1:76" x14ac:dyDescent="0.3">
      <c r="D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28" x14ac:dyDescent="0.3">
      <c r="D38" s="2"/>
      <c r="E38" s="63" t="s">
        <v>35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x14ac:dyDescent="0.3">
      <c r="B39" s="1"/>
      <c r="D39" s="107"/>
      <c r="E39" s="50" t="str">
        <f>"Proportion of conventional GP consultations who have telephone first"</f>
        <v>Proportion of conventional GP consultations who have telephone first</v>
      </c>
      <c r="F39" s="312">
        <f>'Upper and Lower Limits'!P5</f>
        <v>0.14000000000000001</v>
      </c>
      <c r="G39" s="313">
        <f>'Upper and Lower Limits'!Q5</f>
        <v>0.14000000000000001</v>
      </c>
      <c r="H39" s="313">
        <f>'Upper and Lower Limits'!R5</f>
        <v>0.14000000000000001</v>
      </c>
      <c r="I39" s="314">
        <f t="shared" ref="I39:I42" si="30">$F39-(($F39-$G39)/2)</f>
        <v>0.14000000000000001</v>
      </c>
      <c r="J39" s="315">
        <f t="shared" ref="J39:J42" si="31">$F39+(($H39-$F39)/2)</f>
        <v>0.14000000000000001</v>
      </c>
      <c r="K39" s="316">
        <f>(H39-G39)/10</f>
        <v>0</v>
      </c>
      <c r="L39" s="330">
        <f t="shared" ref="L39:V42" si="32">IF($D39="X",($G39+($K39*(L$7-1))),IF($D39="S",($G39),$F39))</f>
        <v>0.14000000000000001</v>
      </c>
      <c r="M39" s="331">
        <f t="shared" si="32"/>
        <v>0.14000000000000001</v>
      </c>
      <c r="N39" s="331">
        <f t="shared" si="32"/>
        <v>0.14000000000000001</v>
      </c>
      <c r="O39" s="331">
        <f t="shared" si="32"/>
        <v>0.14000000000000001</v>
      </c>
      <c r="P39" s="331">
        <f t="shared" si="32"/>
        <v>0.14000000000000001</v>
      </c>
      <c r="Q39" s="331">
        <f t="shared" si="32"/>
        <v>0.14000000000000001</v>
      </c>
      <c r="R39" s="331">
        <f t="shared" si="32"/>
        <v>0.14000000000000001</v>
      </c>
      <c r="S39" s="331">
        <f t="shared" si="32"/>
        <v>0.14000000000000001</v>
      </c>
      <c r="T39" s="331">
        <f t="shared" si="32"/>
        <v>0.14000000000000001</v>
      </c>
      <c r="U39" s="331">
        <f t="shared" si="32"/>
        <v>0.14000000000000001</v>
      </c>
      <c r="V39" s="332">
        <f t="shared" si="32"/>
        <v>0.14000000000000001</v>
      </c>
      <c r="W39" s="329">
        <f t="shared" ref="W39:AG42" si="33">IF($D39="X",($G39+($K39*(W$7-1))),IF($D39="S",($I39),$F39))</f>
        <v>0.14000000000000001</v>
      </c>
      <c r="X39" s="71">
        <f t="shared" si="33"/>
        <v>0.14000000000000001</v>
      </c>
      <c r="Y39" s="71">
        <f t="shared" si="33"/>
        <v>0.14000000000000001</v>
      </c>
      <c r="Z39" s="71">
        <f t="shared" si="33"/>
        <v>0.14000000000000001</v>
      </c>
      <c r="AA39" s="71">
        <f t="shared" si="33"/>
        <v>0.14000000000000001</v>
      </c>
      <c r="AB39" s="71">
        <f t="shared" si="33"/>
        <v>0.14000000000000001</v>
      </c>
      <c r="AC39" s="71">
        <f t="shared" si="33"/>
        <v>0.14000000000000001</v>
      </c>
      <c r="AD39" s="71">
        <f t="shared" si="33"/>
        <v>0.14000000000000001</v>
      </c>
      <c r="AE39" s="71">
        <f t="shared" si="33"/>
        <v>0.14000000000000001</v>
      </c>
      <c r="AF39" s="71">
        <f t="shared" si="33"/>
        <v>0.14000000000000001</v>
      </c>
      <c r="AG39" s="76">
        <f t="shared" si="33"/>
        <v>0.14000000000000001</v>
      </c>
      <c r="AH39" s="77">
        <f t="shared" ref="AH39:AR42" si="34">IF($D39="X",($G39+($K39*(AH$7-1))),IF($D39="S",($F39),$F39))</f>
        <v>0.14000000000000001</v>
      </c>
      <c r="AI39" s="71">
        <f t="shared" si="34"/>
        <v>0.14000000000000001</v>
      </c>
      <c r="AJ39" s="71">
        <f t="shared" si="34"/>
        <v>0.14000000000000001</v>
      </c>
      <c r="AK39" s="71">
        <f t="shared" si="34"/>
        <v>0.14000000000000001</v>
      </c>
      <c r="AL39" s="71">
        <f t="shared" si="34"/>
        <v>0.14000000000000001</v>
      </c>
      <c r="AM39" s="71">
        <f t="shared" si="34"/>
        <v>0.14000000000000001</v>
      </c>
      <c r="AN39" s="71">
        <f t="shared" si="34"/>
        <v>0.14000000000000001</v>
      </c>
      <c r="AO39" s="71">
        <f t="shared" si="34"/>
        <v>0.14000000000000001</v>
      </c>
      <c r="AP39" s="71">
        <f t="shared" si="34"/>
        <v>0.14000000000000001</v>
      </c>
      <c r="AQ39" s="71">
        <f t="shared" si="34"/>
        <v>0.14000000000000001</v>
      </c>
      <c r="AR39" s="76">
        <f t="shared" si="34"/>
        <v>0.14000000000000001</v>
      </c>
      <c r="AS39" s="77">
        <f t="shared" ref="AS39:BC42" si="35">IF($D39="X",($G39+($K39*(AS$7-1))),IF($D39="S",($J39),$F39))</f>
        <v>0.14000000000000001</v>
      </c>
      <c r="AT39" s="71">
        <f t="shared" si="35"/>
        <v>0.14000000000000001</v>
      </c>
      <c r="AU39" s="71">
        <f t="shared" si="35"/>
        <v>0.14000000000000001</v>
      </c>
      <c r="AV39" s="71">
        <f t="shared" si="35"/>
        <v>0.14000000000000001</v>
      </c>
      <c r="AW39" s="71">
        <f t="shared" si="35"/>
        <v>0.14000000000000001</v>
      </c>
      <c r="AX39" s="71">
        <f t="shared" si="35"/>
        <v>0.14000000000000001</v>
      </c>
      <c r="AY39" s="71">
        <f t="shared" si="35"/>
        <v>0.14000000000000001</v>
      </c>
      <c r="AZ39" s="71">
        <f t="shared" si="35"/>
        <v>0.14000000000000001</v>
      </c>
      <c r="BA39" s="71">
        <f t="shared" si="35"/>
        <v>0.14000000000000001</v>
      </c>
      <c r="BB39" s="71">
        <f t="shared" si="35"/>
        <v>0.14000000000000001</v>
      </c>
      <c r="BC39" s="76">
        <f t="shared" si="35"/>
        <v>0.14000000000000001</v>
      </c>
      <c r="BD39" s="77">
        <f t="shared" ref="BD39:BN42" si="36">IF($D39="X",($G39+($K39*(BD$7-1))),IF($D39="S",($H39),$F39))</f>
        <v>0.14000000000000001</v>
      </c>
      <c r="BE39" s="71">
        <f t="shared" si="36"/>
        <v>0.14000000000000001</v>
      </c>
      <c r="BF39" s="71">
        <f t="shared" si="36"/>
        <v>0.14000000000000001</v>
      </c>
      <c r="BG39" s="71">
        <f t="shared" si="36"/>
        <v>0.14000000000000001</v>
      </c>
      <c r="BH39" s="71">
        <f t="shared" si="36"/>
        <v>0.14000000000000001</v>
      </c>
      <c r="BI39" s="71">
        <f t="shared" si="36"/>
        <v>0.14000000000000001</v>
      </c>
      <c r="BJ39" s="71">
        <f t="shared" si="36"/>
        <v>0.14000000000000001</v>
      </c>
      <c r="BK39" s="71">
        <f t="shared" si="36"/>
        <v>0.14000000000000001</v>
      </c>
      <c r="BL39" s="71">
        <f t="shared" si="36"/>
        <v>0.14000000000000001</v>
      </c>
      <c r="BM39" s="71">
        <f t="shared" si="36"/>
        <v>0.14000000000000001</v>
      </c>
      <c r="BN39" s="76">
        <f t="shared" si="36"/>
        <v>0.14000000000000001</v>
      </c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x14ac:dyDescent="0.3">
      <c r="B40" s="1"/>
      <c r="D40" s="6" t="str">
        <f t="shared" ref="D40:D41" si="37">IF(E40=X_axis_txt,"X", IF(E40=legend_txt,"S",""))</f>
        <v/>
      </c>
      <c r="E40" s="53" t="str">
        <f>IF(AltCon_txt='Upper and Lower Limits'!$D$14,'Sensitivity Analysis'!E15,"Time on telephone call")</f>
        <v>Time on telephone call</v>
      </c>
      <c r="F40" s="317">
        <f>'Upper and Lower Limits'!P8</f>
        <v>5</v>
      </c>
      <c r="G40" s="318">
        <f>'Upper and Lower Limits'!Q8</f>
        <v>4</v>
      </c>
      <c r="H40" s="318">
        <f>'Upper and Lower Limits'!R8</f>
        <v>6</v>
      </c>
      <c r="I40" s="319">
        <f t="shared" si="30"/>
        <v>4.5</v>
      </c>
      <c r="J40" s="320">
        <f t="shared" si="31"/>
        <v>5.5</v>
      </c>
      <c r="K40" s="321">
        <f>(H40-G40)/10</f>
        <v>0.2</v>
      </c>
      <c r="L40" s="335">
        <f t="shared" si="32"/>
        <v>5</v>
      </c>
      <c r="M40" s="336">
        <f t="shared" si="32"/>
        <v>5</v>
      </c>
      <c r="N40" s="336">
        <f t="shared" si="32"/>
        <v>5</v>
      </c>
      <c r="O40" s="336">
        <f t="shared" si="32"/>
        <v>5</v>
      </c>
      <c r="P40" s="336">
        <f t="shared" si="32"/>
        <v>5</v>
      </c>
      <c r="Q40" s="336">
        <f t="shared" si="32"/>
        <v>5</v>
      </c>
      <c r="R40" s="336">
        <f t="shared" si="32"/>
        <v>5</v>
      </c>
      <c r="S40" s="336">
        <f t="shared" si="32"/>
        <v>5</v>
      </c>
      <c r="T40" s="336">
        <f t="shared" si="32"/>
        <v>5</v>
      </c>
      <c r="U40" s="336">
        <f t="shared" si="32"/>
        <v>5</v>
      </c>
      <c r="V40" s="337">
        <f t="shared" si="32"/>
        <v>5</v>
      </c>
      <c r="W40" s="336">
        <f t="shared" si="33"/>
        <v>5</v>
      </c>
      <c r="X40" s="338">
        <f t="shared" si="33"/>
        <v>5</v>
      </c>
      <c r="Y40" s="338">
        <f t="shared" si="33"/>
        <v>5</v>
      </c>
      <c r="Z40" s="338">
        <f t="shared" si="33"/>
        <v>5</v>
      </c>
      <c r="AA40" s="338">
        <f t="shared" si="33"/>
        <v>5</v>
      </c>
      <c r="AB40" s="338">
        <f t="shared" si="33"/>
        <v>5</v>
      </c>
      <c r="AC40" s="338">
        <f t="shared" si="33"/>
        <v>5</v>
      </c>
      <c r="AD40" s="338">
        <f t="shared" si="33"/>
        <v>5</v>
      </c>
      <c r="AE40" s="338">
        <f t="shared" si="33"/>
        <v>5</v>
      </c>
      <c r="AF40" s="338">
        <f t="shared" si="33"/>
        <v>5</v>
      </c>
      <c r="AG40" s="339">
        <f t="shared" si="33"/>
        <v>5</v>
      </c>
      <c r="AH40" s="340">
        <f t="shared" si="34"/>
        <v>5</v>
      </c>
      <c r="AI40" s="338">
        <f t="shared" si="34"/>
        <v>5</v>
      </c>
      <c r="AJ40" s="338">
        <f t="shared" si="34"/>
        <v>5</v>
      </c>
      <c r="AK40" s="338">
        <f t="shared" si="34"/>
        <v>5</v>
      </c>
      <c r="AL40" s="338">
        <f t="shared" si="34"/>
        <v>5</v>
      </c>
      <c r="AM40" s="338">
        <f t="shared" si="34"/>
        <v>5</v>
      </c>
      <c r="AN40" s="338">
        <f t="shared" si="34"/>
        <v>5</v>
      </c>
      <c r="AO40" s="338">
        <f t="shared" si="34"/>
        <v>5</v>
      </c>
      <c r="AP40" s="338">
        <f t="shared" si="34"/>
        <v>5</v>
      </c>
      <c r="AQ40" s="338">
        <f t="shared" si="34"/>
        <v>5</v>
      </c>
      <c r="AR40" s="339">
        <f t="shared" si="34"/>
        <v>5</v>
      </c>
      <c r="AS40" s="340">
        <f t="shared" si="35"/>
        <v>5</v>
      </c>
      <c r="AT40" s="338">
        <f t="shared" si="35"/>
        <v>5</v>
      </c>
      <c r="AU40" s="338">
        <f t="shared" si="35"/>
        <v>5</v>
      </c>
      <c r="AV40" s="338">
        <f t="shared" si="35"/>
        <v>5</v>
      </c>
      <c r="AW40" s="338">
        <f t="shared" si="35"/>
        <v>5</v>
      </c>
      <c r="AX40" s="338">
        <f t="shared" si="35"/>
        <v>5</v>
      </c>
      <c r="AY40" s="338">
        <f t="shared" si="35"/>
        <v>5</v>
      </c>
      <c r="AZ40" s="338">
        <f t="shared" si="35"/>
        <v>5</v>
      </c>
      <c r="BA40" s="338">
        <f t="shared" si="35"/>
        <v>5</v>
      </c>
      <c r="BB40" s="338">
        <f t="shared" si="35"/>
        <v>5</v>
      </c>
      <c r="BC40" s="339">
        <f t="shared" si="35"/>
        <v>5</v>
      </c>
      <c r="BD40" s="340">
        <f t="shared" si="36"/>
        <v>5</v>
      </c>
      <c r="BE40" s="338">
        <f t="shared" si="36"/>
        <v>5</v>
      </c>
      <c r="BF40" s="338">
        <f t="shared" si="36"/>
        <v>5</v>
      </c>
      <c r="BG40" s="338">
        <f t="shared" si="36"/>
        <v>5</v>
      </c>
      <c r="BH40" s="338">
        <f t="shared" si="36"/>
        <v>5</v>
      </c>
      <c r="BI40" s="338">
        <f t="shared" si="36"/>
        <v>5</v>
      </c>
      <c r="BJ40" s="338">
        <f t="shared" si="36"/>
        <v>5</v>
      </c>
      <c r="BK40" s="338">
        <f t="shared" si="36"/>
        <v>5</v>
      </c>
      <c r="BL40" s="338">
        <f t="shared" si="36"/>
        <v>5</v>
      </c>
      <c r="BM40" s="338">
        <f t="shared" si="36"/>
        <v>5</v>
      </c>
      <c r="BN40" s="339">
        <f t="shared" si="36"/>
        <v>5</v>
      </c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x14ac:dyDescent="0.3">
      <c r="B41" s="1"/>
      <c r="D41" s="6" t="str">
        <f t="shared" si="37"/>
        <v/>
      </c>
      <c r="E41" s="53" t="str">
        <f>IF(AltCon_txt='Upper and Lower Limits'!$D$14,E14,"Percent conventional phone calls managed without further assessment")</f>
        <v>Percent conventional phone calls managed without further assessment</v>
      </c>
      <c r="F41" s="322">
        <f>'Upper and Lower Limits'!P6</f>
        <v>0.8</v>
      </c>
      <c r="G41" s="323">
        <f>'Upper and Lower Limits'!Q6</f>
        <v>0.1</v>
      </c>
      <c r="H41" s="323">
        <f>'Upper and Lower Limits'!R6</f>
        <v>0.9</v>
      </c>
      <c r="I41" s="319">
        <f>$F41-(($F41-$G41)/2)</f>
        <v>0.45</v>
      </c>
      <c r="J41" s="320">
        <f>$F41+(($H41-$F41)/2)</f>
        <v>0.85000000000000009</v>
      </c>
      <c r="K41" s="321">
        <f>(H41-G41)/10</f>
        <v>0.08</v>
      </c>
      <c r="L41" s="333">
        <f t="shared" si="32"/>
        <v>0.8</v>
      </c>
      <c r="M41" s="329">
        <f t="shared" si="32"/>
        <v>0.8</v>
      </c>
      <c r="N41" s="329">
        <f t="shared" si="32"/>
        <v>0.8</v>
      </c>
      <c r="O41" s="329">
        <f t="shared" si="32"/>
        <v>0.8</v>
      </c>
      <c r="P41" s="329">
        <f t="shared" si="32"/>
        <v>0.8</v>
      </c>
      <c r="Q41" s="329">
        <f t="shared" si="32"/>
        <v>0.8</v>
      </c>
      <c r="R41" s="329">
        <f t="shared" si="32"/>
        <v>0.8</v>
      </c>
      <c r="S41" s="329">
        <f t="shared" si="32"/>
        <v>0.8</v>
      </c>
      <c r="T41" s="329">
        <f t="shared" si="32"/>
        <v>0.8</v>
      </c>
      <c r="U41" s="329">
        <f t="shared" si="32"/>
        <v>0.8</v>
      </c>
      <c r="V41" s="334">
        <f t="shared" si="32"/>
        <v>0.8</v>
      </c>
      <c r="W41" s="329">
        <f t="shared" si="33"/>
        <v>0.8</v>
      </c>
      <c r="X41" s="71">
        <f t="shared" si="33"/>
        <v>0.8</v>
      </c>
      <c r="Y41" s="71">
        <f t="shared" si="33"/>
        <v>0.8</v>
      </c>
      <c r="Z41" s="71">
        <f t="shared" si="33"/>
        <v>0.8</v>
      </c>
      <c r="AA41" s="71">
        <f t="shared" si="33"/>
        <v>0.8</v>
      </c>
      <c r="AB41" s="71">
        <f t="shared" si="33"/>
        <v>0.8</v>
      </c>
      <c r="AC41" s="71">
        <f t="shared" si="33"/>
        <v>0.8</v>
      </c>
      <c r="AD41" s="71">
        <f t="shared" si="33"/>
        <v>0.8</v>
      </c>
      <c r="AE41" s="71">
        <f t="shared" si="33"/>
        <v>0.8</v>
      </c>
      <c r="AF41" s="71">
        <f t="shared" si="33"/>
        <v>0.8</v>
      </c>
      <c r="AG41" s="76">
        <f t="shared" si="33"/>
        <v>0.8</v>
      </c>
      <c r="AH41" s="77">
        <f t="shared" si="34"/>
        <v>0.8</v>
      </c>
      <c r="AI41" s="71">
        <f t="shared" si="34"/>
        <v>0.8</v>
      </c>
      <c r="AJ41" s="71">
        <f t="shared" si="34"/>
        <v>0.8</v>
      </c>
      <c r="AK41" s="71">
        <f t="shared" si="34"/>
        <v>0.8</v>
      </c>
      <c r="AL41" s="71">
        <f t="shared" si="34"/>
        <v>0.8</v>
      </c>
      <c r="AM41" s="71">
        <f t="shared" si="34"/>
        <v>0.8</v>
      </c>
      <c r="AN41" s="71">
        <f t="shared" si="34"/>
        <v>0.8</v>
      </c>
      <c r="AO41" s="71">
        <f t="shared" si="34"/>
        <v>0.8</v>
      </c>
      <c r="AP41" s="71">
        <f t="shared" si="34"/>
        <v>0.8</v>
      </c>
      <c r="AQ41" s="71">
        <f t="shared" si="34"/>
        <v>0.8</v>
      </c>
      <c r="AR41" s="76">
        <f t="shared" si="34"/>
        <v>0.8</v>
      </c>
      <c r="AS41" s="77">
        <f t="shared" si="35"/>
        <v>0.8</v>
      </c>
      <c r="AT41" s="71">
        <f t="shared" si="35"/>
        <v>0.8</v>
      </c>
      <c r="AU41" s="71">
        <f t="shared" si="35"/>
        <v>0.8</v>
      </c>
      <c r="AV41" s="71">
        <f t="shared" si="35"/>
        <v>0.8</v>
      </c>
      <c r="AW41" s="71">
        <f t="shared" si="35"/>
        <v>0.8</v>
      </c>
      <c r="AX41" s="71">
        <f t="shared" si="35"/>
        <v>0.8</v>
      </c>
      <c r="AY41" s="71">
        <f t="shared" si="35"/>
        <v>0.8</v>
      </c>
      <c r="AZ41" s="71">
        <f t="shared" si="35"/>
        <v>0.8</v>
      </c>
      <c r="BA41" s="71">
        <f t="shared" si="35"/>
        <v>0.8</v>
      </c>
      <c r="BB41" s="71">
        <f t="shared" si="35"/>
        <v>0.8</v>
      </c>
      <c r="BC41" s="76">
        <f t="shared" si="35"/>
        <v>0.8</v>
      </c>
      <c r="BD41" s="77">
        <f t="shared" si="36"/>
        <v>0.8</v>
      </c>
      <c r="BE41" s="71">
        <f t="shared" si="36"/>
        <v>0.8</v>
      </c>
      <c r="BF41" s="71">
        <f t="shared" si="36"/>
        <v>0.8</v>
      </c>
      <c r="BG41" s="71">
        <f t="shared" si="36"/>
        <v>0.8</v>
      </c>
      <c r="BH41" s="71">
        <f t="shared" si="36"/>
        <v>0.8</v>
      </c>
      <c r="BI41" s="71">
        <f t="shared" si="36"/>
        <v>0.8</v>
      </c>
      <c r="BJ41" s="71">
        <f t="shared" si="36"/>
        <v>0.8</v>
      </c>
      <c r="BK41" s="71">
        <f t="shared" si="36"/>
        <v>0.8</v>
      </c>
      <c r="BL41" s="71">
        <f t="shared" si="36"/>
        <v>0.8</v>
      </c>
      <c r="BM41" s="71">
        <f t="shared" si="36"/>
        <v>0.8</v>
      </c>
      <c r="BN41" s="76">
        <f t="shared" si="36"/>
        <v>0.8</v>
      </c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x14ac:dyDescent="0.3">
      <c r="B42" s="1"/>
      <c r="D42" s="107"/>
      <c r="E42" s="211" t="str">
        <f>E17</f>
        <v>GP F2F time</v>
      </c>
      <c r="F42" s="324">
        <f>F17</f>
        <v>9</v>
      </c>
      <c r="G42" s="325">
        <f>G17</f>
        <v>9</v>
      </c>
      <c r="H42" s="325">
        <f>H17</f>
        <v>9</v>
      </c>
      <c r="I42" s="326">
        <f t="shared" si="30"/>
        <v>9</v>
      </c>
      <c r="J42" s="327">
        <f t="shared" si="31"/>
        <v>9</v>
      </c>
      <c r="K42" s="328">
        <f t="shared" ref="K42" si="38">(H42-G42)/10</f>
        <v>0</v>
      </c>
      <c r="L42" s="341">
        <f t="shared" si="32"/>
        <v>9</v>
      </c>
      <c r="M42" s="342">
        <f t="shared" si="32"/>
        <v>9</v>
      </c>
      <c r="N42" s="342">
        <f t="shared" si="32"/>
        <v>9</v>
      </c>
      <c r="O42" s="342">
        <f t="shared" si="32"/>
        <v>9</v>
      </c>
      <c r="P42" s="342">
        <f t="shared" si="32"/>
        <v>9</v>
      </c>
      <c r="Q42" s="342">
        <f t="shared" si="32"/>
        <v>9</v>
      </c>
      <c r="R42" s="342">
        <f t="shared" si="32"/>
        <v>9</v>
      </c>
      <c r="S42" s="342">
        <f t="shared" si="32"/>
        <v>9</v>
      </c>
      <c r="T42" s="342">
        <f t="shared" si="32"/>
        <v>9</v>
      </c>
      <c r="U42" s="342">
        <f t="shared" si="32"/>
        <v>9</v>
      </c>
      <c r="V42" s="343">
        <f t="shared" si="32"/>
        <v>9</v>
      </c>
      <c r="W42" s="336">
        <f t="shared" si="33"/>
        <v>9</v>
      </c>
      <c r="X42" s="338">
        <f t="shared" si="33"/>
        <v>9</v>
      </c>
      <c r="Y42" s="338">
        <f t="shared" si="33"/>
        <v>9</v>
      </c>
      <c r="Z42" s="338">
        <f t="shared" si="33"/>
        <v>9</v>
      </c>
      <c r="AA42" s="338">
        <f t="shared" si="33"/>
        <v>9</v>
      </c>
      <c r="AB42" s="338">
        <f t="shared" si="33"/>
        <v>9</v>
      </c>
      <c r="AC42" s="338">
        <f t="shared" si="33"/>
        <v>9</v>
      </c>
      <c r="AD42" s="338">
        <f t="shared" si="33"/>
        <v>9</v>
      </c>
      <c r="AE42" s="338">
        <f t="shared" si="33"/>
        <v>9</v>
      </c>
      <c r="AF42" s="338">
        <f t="shared" si="33"/>
        <v>9</v>
      </c>
      <c r="AG42" s="339">
        <f t="shared" si="33"/>
        <v>9</v>
      </c>
      <c r="AH42" s="340">
        <f t="shared" si="34"/>
        <v>9</v>
      </c>
      <c r="AI42" s="338">
        <f t="shared" si="34"/>
        <v>9</v>
      </c>
      <c r="AJ42" s="338">
        <f t="shared" si="34"/>
        <v>9</v>
      </c>
      <c r="AK42" s="338">
        <f t="shared" si="34"/>
        <v>9</v>
      </c>
      <c r="AL42" s="338">
        <f t="shared" si="34"/>
        <v>9</v>
      </c>
      <c r="AM42" s="338">
        <f t="shared" si="34"/>
        <v>9</v>
      </c>
      <c r="AN42" s="338">
        <f t="shared" si="34"/>
        <v>9</v>
      </c>
      <c r="AO42" s="338">
        <f t="shared" si="34"/>
        <v>9</v>
      </c>
      <c r="AP42" s="338">
        <f t="shared" si="34"/>
        <v>9</v>
      </c>
      <c r="AQ42" s="338">
        <f t="shared" si="34"/>
        <v>9</v>
      </c>
      <c r="AR42" s="339">
        <f t="shared" si="34"/>
        <v>9</v>
      </c>
      <c r="AS42" s="340">
        <f t="shared" si="35"/>
        <v>9</v>
      </c>
      <c r="AT42" s="338">
        <f t="shared" si="35"/>
        <v>9</v>
      </c>
      <c r="AU42" s="338">
        <f t="shared" si="35"/>
        <v>9</v>
      </c>
      <c r="AV42" s="338">
        <f t="shared" si="35"/>
        <v>9</v>
      </c>
      <c r="AW42" s="338">
        <f t="shared" si="35"/>
        <v>9</v>
      </c>
      <c r="AX42" s="338">
        <f t="shared" si="35"/>
        <v>9</v>
      </c>
      <c r="AY42" s="338">
        <f t="shared" si="35"/>
        <v>9</v>
      </c>
      <c r="AZ42" s="338">
        <f t="shared" si="35"/>
        <v>9</v>
      </c>
      <c r="BA42" s="338">
        <f t="shared" si="35"/>
        <v>9</v>
      </c>
      <c r="BB42" s="338">
        <f t="shared" si="35"/>
        <v>9</v>
      </c>
      <c r="BC42" s="339">
        <f t="shared" si="35"/>
        <v>9</v>
      </c>
      <c r="BD42" s="340">
        <f t="shared" si="36"/>
        <v>9</v>
      </c>
      <c r="BE42" s="338">
        <f t="shared" si="36"/>
        <v>9</v>
      </c>
      <c r="BF42" s="338">
        <f t="shared" si="36"/>
        <v>9</v>
      </c>
      <c r="BG42" s="338">
        <f t="shared" si="36"/>
        <v>9</v>
      </c>
      <c r="BH42" s="338">
        <f t="shared" si="36"/>
        <v>9</v>
      </c>
      <c r="BI42" s="338">
        <f t="shared" si="36"/>
        <v>9</v>
      </c>
      <c r="BJ42" s="338">
        <f t="shared" si="36"/>
        <v>9</v>
      </c>
      <c r="BK42" s="338">
        <f t="shared" si="36"/>
        <v>9</v>
      </c>
      <c r="BL42" s="338">
        <f t="shared" si="36"/>
        <v>9</v>
      </c>
      <c r="BM42" s="338">
        <f t="shared" si="36"/>
        <v>9</v>
      </c>
      <c r="BN42" s="339">
        <f t="shared" si="36"/>
        <v>9</v>
      </c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x14ac:dyDescent="0.3">
      <c r="D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x14ac:dyDescent="0.3">
      <c r="D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x14ac:dyDescent="0.3">
      <c r="D45" s="2"/>
      <c r="E45" s="70" t="s">
        <v>32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x14ac:dyDescent="0.3">
      <c r="B46" s="125" t="s">
        <v>64</v>
      </c>
      <c r="C46" s="96"/>
      <c r="D46" s="13" t="s">
        <v>23</v>
      </c>
      <c r="E46" s="16" t="s">
        <v>39</v>
      </c>
      <c r="F46" s="60"/>
      <c r="G46" s="60"/>
      <c r="H46" s="60"/>
      <c r="I46" s="13"/>
      <c r="J46" s="13"/>
      <c r="K46" s="97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P46" s="62"/>
    </row>
    <row r="47" spans="1:76" ht="28" x14ac:dyDescent="0.3">
      <c r="B47" s="126"/>
      <c r="C47" s="1"/>
      <c r="D47" s="1" t="s">
        <v>107</v>
      </c>
      <c r="E47" s="2" t="s">
        <v>25</v>
      </c>
      <c r="F47" s="89">
        <f>(1-F39)</f>
        <v>0.86</v>
      </c>
      <c r="G47" s="89">
        <f>(1-G39)</f>
        <v>0.86</v>
      </c>
      <c r="H47" s="89">
        <f>(1-H39)</f>
        <v>0.86</v>
      </c>
      <c r="I47" s="89">
        <f>(1-I39)</f>
        <v>0.86</v>
      </c>
      <c r="J47" s="89">
        <f>(1-J39)</f>
        <v>0.86</v>
      </c>
      <c r="K47" s="98"/>
      <c r="L47" s="89">
        <f t="shared" ref="L47:BN47" si="39">(1-L39)</f>
        <v>0.86</v>
      </c>
      <c r="M47" s="89">
        <f t="shared" si="39"/>
        <v>0.86</v>
      </c>
      <c r="N47" s="89">
        <f t="shared" si="39"/>
        <v>0.86</v>
      </c>
      <c r="O47" s="89">
        <f t="shared" si="39"/>
        <v>0.86</v>
      </c>
      <c r="P47" s="89">
        <f t="shared" si="39"/>
        <v>0.86</v>
      </c>
      <c r="Q47" s="89">
        <f t="shared" si="39"/>
        <v>0.86</v>
      </c>
      <c r="R47" s="89">
        <f t="shared" si="39"/>
        <v>0.86</v>
      </c>
      <c r="S47" s="89">
        <f t="shared" si="39"/>
        <v>0.86</v>
      </c>
      <c r="T47" s="89">
        <f t="shared" si="39"/>
        <v>0.86</v>
      </c>
      <c r="U47" s="89">
        <f t="shared" si="39"/>
        <v>0.86</v>
      </c>
      <c r="V47" s="89">
        <f t="shared" si="39"/>
        <v>0.86</v>
      </c>
      <c r="W47" s="89">
        <f t="shared" si="39"/>
        <v>0.86</v>
      </c>
      <c r="X47" s="89">
        <f t="shared" si="39"/>
        <v>0.86</v>
      </c>
      <c r="Y47" s="89">
        <f t="shared" si="39"/>
        <v>0.86</v>
      </c>
      <c r="Z47" s="89">
        <f t="shared" si="39"/>
        <v>0.86</v>
      </c>
      <c r="AA47" s="89">
        <f t="shared" si="39"/>
        <v>0.86</v>
      </c>
      <c r="AB47" s="89">
        <f t="shared" si="39"/>
        <v>0.86</v>
      </c>
      <c r="AC47" s="89">
        <f t="shared" si="39"/>
        <v>0.86</v>
      </c>
      <c r="AD47" s="89">
        <f t="shared" si="39"/>
        <v>0.86</v>
      </c>
      <c r="AE47" s="89">
        <f t="shared" si="39"/>
        <v>0.86</v>
      </c>
      <c r="AF47" s="89">
        <f t="shared" si="39"/>
        <v>0.86</v>
      </c>
      <c r="AG47" s="89">
        <f t="shared" si="39"/>
        <v>0.86</v>
      </c>
      <c r="AH47" s="89">
        <f t="shared" si="39"/>
        <v>0.86</v>
      </c>
      <c r="AI47" s="89">
        <f t="shared" si="39"/>
        <v>0.86</v>
      </c>
      <c r="AJ47" s="89">
        <f t="shared" si="39"/>
        <v>0.86</v>
      </c>
      <c r="AK47" s="89">
        <f t="shared" si="39"/>
        <v>0.86</v>
      </c>
      <c r="AL47" s="89">
        <f t="shared" si="39"/>
        <v>0.86</v>
      </c>
      <c r="AM47" s="89">
        <f t="shared" si="39"/>
        <v>0.86</v>
      </c>
      <c r="AN47" s="89">
        <f t="shared" si="39"/>
        <v>0.86</v>
      </c>
      <c r="AO47" s="89">
        <f t="shared" si="39"/>
        <v>0.86</v>
      </c>
      <c r="AP47" s="89">
        <f t="shared" si="39"/>
        <v>0.86</v>
      </c>
      <c r="AQ47" s="89">
        <f t="shared" si="39"/>
        <v>0.86</v>
      </c>
      <c r="AR47" s="89">
        <f t="shared" si="39"/>
        <v>0.86</v>
      </c>
      <c r="AS47" s="89">
        <f t="shared" si="39"/>
        <v>0.86</v>
      </c>
      <c r="AT47" s="89">
        <f t="shared" si="39"/>
        <v>0.86</v>
      </c>
      <c r="AU47" s="89">
        <f t="shared" si="39"/>
        <v>0.86</v>
      </c>
      <c r="AV47" s="89">
        <f t="shared" si="39"/>
        <v>0.86</v>
      </c>
      <c r="AW47" s="89">
        <f t="shared" si="39"/>
        <v>0.86</v>
      </c>
      <c r="AX47" s="89">
        <f t="shared" si="39"/>
        <v>0.86</v>
      </c>
      <c r="AY47" s="89">
        <f t="shared" si="39"/>
        <v>0.86</v>
      </c>
      <c r="AZ47" s="89">
        <f t="shared" si="39"/>
        <v>0.86</v>
      </c>
      <c r="BA47" s="89">
        <f t="shared" si="39"/>
        <v>0.86</v>
      </c>
      <c r="BB47" s="89">
        <f t="shared" si="39"/>
        <v>0.86</v>
      </c>
      <c r="BC47" s="89">
        <f t="shared" si="39"/>
        <v>0.86</v>
      </c>
      <c r="BD47" s="89">
        <f t="shared" si="39"/>
        <v>0.86</v>
      </c>
      <c r="BE47" s="89">
        <f t="shared" si="39"/>
        <v>0.86</v>
      </c>
      <c r="BF47" s="89">
        <f t="shared" si="39"/>
        <v>0.86</v>
      </c>
      <c r="BG47" s="89">
        <f t="shared" si="39"/>
        <v>0.86</v>
      </c>
      <c r="BH47" s="89">
        <f t="shared" si="39"/>
        <v>0.86</v>
      </c>
      <c r="BI47" s="89">
        <f t="shared" si="39"/>
        <v>0.86</v>
      </c>
      <c r="BJ47" s="89">
        <f t="shared" si="39"/>
        <v>0.86</v>
      </c>
      <c r="BK47" s="89">
        <f t="shared" si="39"/>
        <v>0.86</v>
      </c>
      <c r="BL47" s="89">
        <f t="shared" si="39"/>
        <v>0.86</v>
      </c>
      <c r="BM47" s="89">
        <f t="shared" si="39"/>
        <v>0.86</v>
      </c>
      <c r="BN47" s="89">
        <f t="shared" si="39"/>
        <v>0.86</v>
      </c>
      <c r="BO47" s="2"/>
      <c r="BP47" s="62"/>
      <c r="BQ47" s="2"/>
      <c r="BR47" s="2"/>
      <c r="BS47" s="2"/>
      <c r="BT47" s="2"/>
      <c r="BU47" s="2"/>
      <c r="BV47" s="2"/>
      <c r="BW47" s="2"/>
      <c r="BX47" s="2"/>
    </row>
    <row r="48" spans="1:76" ht="28" x14ac:dyDescent="0.3">
      <c r="B48" s="126"/>
      <c r="C48" s="1"/>
      <c r="D48" s="1" t="s">
        <v>22</v>
      </c>
      <c r="E48" s="2" t="s">
        <v>26</v>
      </c>
      <c r="F48" s="89">
        <f>F39</f>
        <v>0.14000000000000001</v>
      </c>
      <c r="G48" s="89">
        <f>G39</f>
        <v>0.14000000000000001</v>
      </c>
      <c r="H48" s="89">
        <f>H39</f>
        <v>0.14000000000000001</v>
      </c>
      <c r="I48" s="89">
        <f>I39</f>
        <v>0.14000000000000001</v>
      </c>
      <c r="J48" s="89">
        <f>J39</f>
        <v>0.14000000000000001</v>
      </c>
      <c r="K48" s="98"/>
      <c r="L48" s="89">
        <f t="shared" ref="L48:BN48" si="40">L39</f>
        <v>0.14000000000000001</v>
      </c>
      <c r="M48" s="89">
        <f t="shared" si="40"/>
        <v>0.14000000000000001</v>
      </c>
      <c r="N48" s="89">
        <f t="shared" si="40"/>
        <v>0.14000000000000001</v>
      </c>
      <c r="O48" s="89">
        <f t="shared" si="40"/>
        <v>0.14000000000000001</v>
      </c>
      <c r="P48" s="89">
        <f t="shared" si="40"/>
        <v>0.14000000000000001</v>
      </c>
      <c r="Q48" s="89">
        <f t="shared" si="40"/>
        <v>0.14000000000000001</v>
      </c>
      <c r="R48" s="89">
        <f t="shared" si="40"/>
        <v>0.14000000000000001</v>
      </c>
      <c r="S48" s="89">
        <f t="shared" si="40"/>
        <v>0.14000000000000001</v>
      </c>
      <c r="T48" s="89">
        <f t="shared" si="40"/>
        <v>0.14000000000000001</v>
      </c>
      <c r="U48" s="89">
        <f t="shared" si="40"/>
        <v>0.14000000000000001</v>
      </c>
      <c r="V48" s="89">
        <f t="shared" si="40"/>
        <v>0.14000000000000001</v>
      </c>
      <c r="W48" s="89">
        <f t="shared" si="40"/>
        <v>0.14000000000000001</v>
      </c>
      <c r="X48" s="89">
        <f t="shared" si="40"/>
        <v>0.14000000000000001</v>
      </c>
      <c r="Y48" s="89">
        <f t="shared" si="40"/>
        <v>0.14000000000000001</v>
      </c>
      <c r="Z48" s="89">
        <f t="shared" si="40"/>
        <v>0.14000000000000001</v>
      </c>
      <c r="AA48" s="89">
        <f t="shared" si="40"/>
        <v>0.14000000000000001</v>
      </c>
      <c r="AB48" s="89">
        <f t="shared" si="40"/>
        <v>0.14000000000000001</v>
      </c>
      <c r="AC48" s="89">
        <f t="shared" si="40"/>
        <v>0.14000000000000001</v>
      </c>
      <c r="AD48" s="89">
        <f t="shared" si="40"/>
        <v>0.14000000000000001</v>
      </c>
      <c r="AE48" s="89">
        <f t="shared" si="40"/>
        <v>0.14000000000000001</v>
      </c>
      <c r="AF48" s="89">
        <f t="shared" si="40"/>
        <v>0.14000000000000001</v>
      </c>
      <c r="AG48" s="89">
        <f t="shared" si="40"/>
        <v>0.14000000000000001</v>
      </c>
      <c r="AH48" s="89">
        <f t="shared" si="40"/>
        <v>0.14000000000000001</v>
      </c>
      <c r="AI48" s="89">
        <f t="shared" si="40"/>
        <v>0.14000000000000001</v>
      </c>
      <c r="AJ48" s="89">
        <f t="shared" si="40"/>
        <v>0.14000000000000001</v>
      </c>
      <c r="AK48" s="89">
        <f t="shared" si="40"/>
        <v>0.14000000000000001</v>
      </c>
      <c r="AL48" s="89">
        <f t="shared" si="40"/>
        <v>0.14000000000000001</v>
      </c>
      <c r="AM48" s="89">
        <f t="shared" si="40"/>
        <v>0.14000000000000001</v>
      </c>
      <c r="AN48" s="89">
        <f t="shared" si="40"/>
        <v>0.14000000000000001</v>
      </c>
      <c r="AO48" s="89">
        <f t="shared" si="40"/>
        <v>0.14000000000000001</v>
      </c>
      <c r="AP48" s="89">
        <f t="shared" si="40"/>
        <v>0.14000000000000001</v>
      </c>
      <c r="AQ48" s="89">
        <f t="shared" si="40"/>
        <v>0.14000000000000001</v>
      </c>
      <c r="AR48" s="89">
        <f t="shared" si="40"/>
        <v>0.14000000000000001</v>
      </c>
      <c r="AS48" s="89">
        <f t="shared" si="40"/>
        <v>0.14000000000000001</v>
      </c>
      <c r="AT48" s="89">
        <f t="shared" si="40"/>
        <v>0.14000000000000001</v>
      </c>
      <c r="AU48" s="89">
        <f t="shared" si="40"/>
        <v>0.14000000000000001</v>
      </c>
      <c r="AV48" s="89">
        <f t="shared" si="40"/>
        <v>0.14000000000000001</v>
      </c>
      <c r="AW48" s="89">
        <f t="shared" si="40"/>
        <v>0.14000000000000001</v>
      </c>
      <c r="AX48" s="89">
        <f t="shared" si="40"/>
        <v>0.14000000000000001</v>
      </c>
      <c r="AY48" s="89">
        <f t="shared" si="40"/>
        <v>0.14000000000000001</v>
      </c>
      <c r="AZ48" s="89">
        <f t="shared" si="40"/>
        <v>0.14000000000000001</v>
      </c>
      <c r="BA48" s="89">
        <f t="shared" si="40"/>
        <v>0.14000000000000001</v>
      </c>
      <c r="BB48" s="89">
        <f t="shared" si="40"/>
        <v>0.14000000000000001</v>
      </c>
      <c r="BC48" s="89">
        <f t="shared" si="40"/>
        <v>0.14000000000000001</v>
      </c>
      <c r="BD48" s="89">
        <f t="shared" si="40"/>
        <v>0.14000000000000001</v>
      </c>
      <c r="BE48" s="89">
        <f t="shared" si="40"/>
        <v>0.14000000000000001</v>
      </c>
      <c r="BF48" s="89">
        <f t="shared" si="40"/>
        <v>0.14000000000000001</v>
      </c>
      <c r="BG48" s="89">
        <f t="shared" si="40"/>
        <v>0.14000000000000001</v>
      </c>
      <c r="BH48" s="89">
        <f t="shared" si="40"/>
        <v>0.14000000000000001</v>
      </c>
      <c r="BI48" s="89">
        <f t="shared" si="40"/>
        <v>0.14000000000000001</v>
      </c>
      <c r="BJ48" s="89">
        <f t="shared" si="40"/>
        <v>0.14000000000000001</v>
      </c>
      <c r="BK48" s="89">
        <f t="shared" si="40"/>
        <v>0.14000000000000001</v>
      </c>
      <c r="BL48" s="89">
        <f t="shared" si="40"/>
        <v>0.14000000000000001</v>
      </c>
      <c r="BM48" s="89">
        <f t="shared" si="40"/>
        <v>0.14000000000000001</v>
      </c>
      <c r="BN48" s="89">
        <f t="shared" si="40"/>
        <v>0.14000000000000001</v>
      </c>
      <c r="BO48" s="2"/>
      <c r="BP48" s="62"/>
      <c r="BQ48" s="2"/>
      <c r="BR48" s="2"/>
      <c r="BS48" s="2"/>
      <c r="BT48" s="2"/>
      <c r="BU48" s="2"/>
      <c r="BV48" s="2"/>
      <c r="BW48" s="2"/>
      <c r="BX48" s="2"/>
    </row>
    <row r="49" spans="2:76" ht="30" customHeight="1" x14ac:dyDescent="0.3">
      <c r="B49" s="126"/>
      <c r="C49" s="1"/>
      <c r="D49" s="1" t="s">
        <v>24</v>
      </c>
      <c r="E49" s="115" t="s">
        <v>75</v>
      </c>
      <c r="F49" s="61">
        <f>F48*(1-F41)</f>
        <v>2.7999999999999997E-2</v>
      </c>
      <c r="G49" s="61">
        <f>G48*(1-G41)</f>
        <v>0.12600000000000003</v>
      </c>
      <c r="H49" s="61">
        <f>H48*(1-H41)</f>
        <v>1.3999999999999999E-2</v>
      </c>
      <c r="I49" s="61">
        <f>I48*(1-I41)</f>
        <v>7.7000000000000013E-2</v>
      </c>
      <c r="J49" s="61">
        <f>J48*(1-J41)</f>
        <v>2.0999999999999991E-2</v>
      </c>
      <c r="K49" s="99"/>
      <c r="L49" s="61">
        <f t="shared" ref="L49:BN49" si="41">L48*(1-L41)</f>
        <v>2.7999999999999997E-2</v>
      </c>
      <c r="M49" s="61">
        <f t="shared" si="41"/>
        <v>2.7999999999999997E-2</v>
      </c>
      <c r="N49" s="61">
        <f t="shared" si="41"/>
        <v>2.7999999999999997E-2</v>
      </c>
      <c r="O49" s="61">
        <f t="shared" si="41"/>
        <v>2.7999999999999997E-2</v>
      </c>
      <c r="P49" s="61">
        <f t="shared" si="41"/>
        <v>2.7999999999999997E-2</v>
      </c>
      <c r="Q49" s="61">
        <f t="shared" si="41"/>
        <v>2.7999999999999997E-2</v>
      </c>
      <c r="R49" s="61">
        <f t="shared" si="41"/>
        <v>2.7999999999999997E-2</v>
      </c>
      <c r="S49" s="61">
        <f t="shared" si="41"/>
        <v>2.7999999999999997E-2</v>
      </c>
      <c r="T49" s="61">
        <f t="shared" si="41"/>
        <v>2.7999999999999997E-2</v>
      </c>
      <c r="U49" s="61">
        <f t="shared" si="41"/>
        <v>2.7999999999999997E-2</v>
      </c>
      <c r="V49" s="61">
        <f t="shared" si="41"/>
        <v>2.7999999999999997E-2</v>
      </c>
      <c r="W49" s="61">
        <f t="shared" si="41"/>
        <v>2.7999999999999997E-2</v>
      </c>
      <c r="X49" s="61">
        <f t="shared" si="41"/>
        <v>2.7999999999999997E-2</v>
      </c>
      <c r="Y49" s="61">
        <f t="shared" si="41"/>
        <v>2.7999999999999997E-2</v>
      </c>
      <c r="Z49" s="61">
        <f t="shared" si="41"/>
        <v>2.7999999999999997E-2</v>
      </c>
      <c r="AA49" s="61">
        <f t="shared" si="41"/>
        <v>2.7999999999999997E-2</v>
      </c>
      <c r="AB49" s="61">
        <f t="shared" si="41"/>
        <v>2.7999999999999997E-2</v>
      </c>
      <c r="AC49" s="61">
        <f t="shared" si="41"/>
        <v>2.7999999999999997E-2</v>
      </c>
      <c r="AD49" s="61">
        <f t="shared" si="41"/>
        <v>2.7999999999999997E-2</v>
      </c>
      <c r="AE49" s="61">
        <f t="shared" si="41"/>
        <v>2.7999999999999997E-2</v>
      </c>
      <c r="AF49" s="61">
        <f t="shared" si="41"/>
        <v>2.7999999999999997E-2</v>
      </c>
      <c r="AG49" s="61">
        <f t="shared" si="41"/>
        <v>2.7999999999999997E-2</v>
      </c>
      <c r="AH49" s="61">
        <f t="shared" si="41"/>
        <v>2.7999999999999997E-2</v>
      </c>
      <c r="AI49" s="61">
        <f t="shared" si="41"/>
        <v>2.7999999999999997E-2</v>
      </c>
      <c r="AJ49" s="61">
        <f t="shared" si="41"/>
        <v>2.7999999999999997E-2</v>
      </c>
      <c r="AK49" s="61">
        <f t="shared" si="41"/>
        <v>2.7999999999999997E-2</v>
      </c>
      <c r="AL49" s="61">
        <f t="shared" si="41"/>
        <v>2.7999999999999997E-2</v>
      </c>
      <c r="AM49" s="61">
        <f t="shared" si="41"/>
        <v>2.7999999999999997E-2</v>
      </c>
      <c r="AN49" s="61">
        <f t="shared" si="41"/>
        <v>2.7999999999999997E-2</v>
      </c>
      <c r="AO49" s="61">
        <f t="shared" si="41"/>
        <v>2.7999999999999997E-2</v>
      </c>
      <c r="AP49" s="61">
        <f t="shared" si="41"/>
        <v>2.7999999999999997E-2</v>
      </c>
      <c r="AQ49" s="61">
        <f t="shared" si="41"/>
        <v>2.7999999999999997E-2</v>
      </c>
      <c r="AR49" s="61">
        <f t="shared" si="41"/>
        <v>2.7999999999999997E-2</v>
      </c>
      <c r="AS49" s="61">
        <f t="shared" si="41"/>
        <v>2.7999999999999997E-2</v>
      </c>
      <c r="AT49" s="61">
        <f t="shared" si="41"/>
        <v>2.7999999999999997E-2</v>
      </c>
      <c r="AU49" s="61">
        <f t="shared" si="41"/>
        <v>2.7999999999999997E-2</v>
      </c>
      <c r="AV49" s="61">
        <f t="shared" si="41"/>
        <v>2.7999999999999997E-2</v>
      </c>
      <c r="AW49" s="61">
        <f t="shared" si="41"/>
        <v>2.7999999999999997E-2</v>
      </c>
      <c r="AX49" s="61">
        <f t="shared" si="41"/>
        <v>2.7999999999999997E-2</v>
      </c>
      <c r="AY49" s="61">
        <f t="shared" si="41"/>
        <v>2.7999999999999997E-2</v>
      </c>
      <c r="AZ49" s="61">
        <f t="shared" si="41"/>
        <v>2.7999999999999997E-2</v>
      </c>
      <c r="BA49" s="61">
        <f t="shared" si="41"/>
        <v>2.7999999999999997E-2</v>
      </c>
      <c r="BB49" s="61">
        <f t="shared" si="41"/>
        <v>2.7999999999999997E-2</v>
      </c>
      <c r="BC49" s="61">
        <f t="shared" si="41"/>
        <v>2.7999999999999997E-2</v>
      </c>
      <c r="BD49" s="61">
        <f t="shared" si="41"/>
        <v>2.7999999999999997E-2</v>
      </c>
      <c r="BE49" s="61">
        <f t="shared" si="41"/>
        <v>2.7999999999999997E-2</v>
      </c>
      <c r="BF49" s="61">
        <f t="shared" si="41"/>
        <v>2.7999999999999997E-2</v>
      </c>
      <c r="BG49" s="61">
        <f t="shared" si="41"/>
        <v>2.7999999999999997E-2</v>
      </c>
      <c r="BH49" s="61">
        <f t="shared" si="41"/>
        <v>2.7999999999999997E-2</v>
      </c>
      <c r="BI49" s="61">
        <f t="shared" si="41"/>
        <v>2.7999999999999997E-2</v>
      </c>
      <c r="BJ49" s="61">
        <f t="shared" si="41"/>
        <v>2.7999999999999997E-2</v>
      </c>
      <c r="BK49" s="61">
        <f t="shared" si="41"/>
        <v>2.7999999999999997E-2</v>
      </c>
      <c r="BL49" s="61">
        <f t="shared" si="41"/>
        <v>2.7999999999999997E-2</v>
      </c>
      <c r="BM49" s="61">
        <f t="shared" si="41"/>
        <v>2.7999999999999997E-2</v>
      </c>
      <c r="BN49" s="61">
        <f t="shared" si="41"/>
        <v>2.7999999999999997E-2</v>
      </c>
      <c r="BO49" s="2"/>
      <c r="BP49" s="62"/>
      <c r="BQ49" s="2"/>
      <c r="BR49" s="2"/>
      <c r="BS49" s="2"/>
      <c r="BT49" s="2"/>
      <c r="BU49" s="2"/>
      <c r="BV49" s="2"/>
      <c r="BW49" s="2"/>
      <c r="BX49" s="2"/>
    </row>
    <row r="50" spans="2:76" x14ac:dyDescent="0.3">
      <c r="B50" s="127"/>
      <c r="D50" s="6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2:76" x14ac:dyDescent="0.3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</row>
    <row r="52" spans="2:76" x14ac:dyDescent="0.3">
      <c r="B52" s="3"/>
      <c r="C52" s="3"/>
      <c r="E52" s="14" t="s">
        <v>65</v>
      </c>
    </row>
    <row r="53" spans="2:76" x14ac:dyDescent="0.3">
      <c r="B53" s="125"/>
      <c r="C53" s="78"/>
      <c r="D53" s="13" t="s">
        <v>27</v>
      </c>
      <c r="E53" s="16" t="s">
        <v>39</v>
      </c>
      <c r="F53" s="60"/>
      <c r="G53" s="60"/>
      <c r="H53" s="60"/>
      <c r="I53" s="60"/>
      <c r="J53" s="95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P53" s="80"/>
    </row>
    <row r="54" spans="2:76" ht="28" x14ac:dyDescent="0.3">
      <c r="B54" s="126"/>
      <c r="D54" s="1" t="s">
        <v>23</v>
      </c>
      <c r="E54" s="2" t="s">
        <v>25</v>
      </c>
      <c r="F54" s="1">
        <f>F47*F42</f>
        <v>7.74</v>
      </c>
      <c r="G54" s="1">
        <f t="shared" ref="G54:J54" si="42">G47*G42</f>
        <v>7.74</v>
      </c>
      <c r="H54" s="1">
        <f t="shared" si="42"/>
        <v>7.74</v>
      </c>
      <c r="I54" s="1">
        <f t="shared" si="42"/>
        <v>7.74</v>
      </c>
      <c r="J54" s="1">
        <f t="shared" si="42"/>
        <v>7.74</v>
      </c>
      <c r="L54" s="1">
        <f t="shared" ref="L54:BN54" si="43">L47*L42</f>
        <v>7.74</v>
      </c>
      <c r="M54" s="1">
        <f t="shared" si="43"/>
        <v>7.74</v>
      </c>
      <c r="N54" s="1">
        <f t="shared" si="43"/>
        <v>7.74</v>
      </c>
      <c r="O54" s="1">
        <f t="shared" si="43"/>
        <v>7.74</v>
      </c>
      <c r="P54" s="1">
        <f t="shared" si="43"/>
        <v>7.74</v>
      </c>
      <c r="Q54" s="1">
        <f t="shared" si="43"/>
        <v>7.74</v>
      </c>
      <c r="R54" s="1">
        <f t="shared" si="43"/>
        <v>7.74</v>
      </c>
      <c r="S54" s="1">
        <f t="shared" si="43"/>
        <v>7.74</v>
      </c>
      <c r="T54" s="1">
        <f t="shared" si="43"/>
        <v>7.74</v>
      </c>
      <c r="U54" s="1">
        <f t="shared" si="43"/>
        <v>7.74</v>
      </c>
      <c r="V54" s="1">
        <f t="shared" si="43"/>
        <v>7.74</v>
      </c>
      <c r="W54" s="1">
        <f t="shared" si="43"/>
        <v>7.74</v>
      </c>
      <c r="X54" s="1">
        <f t="shared" si="43"/>
        <v>7.74</v>
      </c>
      <c r="Y54" s="1">
        <f t="shared" si="43"/>
        <v>7.74</v>
      </c>
      <c r="Z54" s="1">
        <f t="shared" si="43"/>
        <v>7.74</v>
      </c>
      <c r="AA54" s="1">
        <f t="shared" si="43"/>
        <v>7.74</v>
      </c>
      <c r="AB54" s="1">
        <f t="shared" si="43"/>
        <v>7.74</v>
      </c>
      <c r="AC54" s="1">
        <f t="shared" si="43"/>
        <v>7.74</v>
      </c>
      <c r="AD54" s="1">
        <f t="shared" si="43"/>
        <v>7.74</v>
      </c>
      <c r="AE54" s="1">
        <f t="shared" si="43"/>
        <v>7.74</v>
      </c>
      <c r="AF54" s="1">
        <f t="shared" si="43"/>
        <v>7.74</v>
      </c>
      <c r="AG54" s="1">
        <f t="shared" si="43"/>
        <v>7.74</v>
      </c>
      <c r="AH54" s="1">
        <f t="shared" si="43"/>
        <v>7.74</v>
      </c>
      <c r="AI54" s="1">
        <f t="shared" si="43"/>
        <v>7.74</v>
      </c>
      <c r="AJ54" s="1">
        <f t="shared" si="43"/>
        <v>7.74</v>
      </c>
      <c r="AK54" s="1">
        <f t="shared" si="43"/>
        <v>7.74</v>
      </c>
      <c r="AL54" s="1">
        <f t="shared" si="43"/>
        <v>7.74</v>
      </c>
      <c r="AM54" s="1">
        <f t="shared" si="43"/>
        <v>7.74</v>
      </c>
      <c r="AN54" s="1">
        <f t="shared" si="43"/>
        <v>7.74</v>
      </c>
      <c r="AO54" s="1">
        <f t="shared" si="43"/>
        <v>7.74</v>
      </c>
      <c r="AP54" s="1">
        <f t="shared" si="43"/>
        <v>7.74</v>
      </c>
      <c r="AQ54" s="1">
        <f t="shared" si="43"/>
        <v>7.74</v>
      </c>
      <c r="AR54" s="1">
        <f t="shared" si="43"/>
        <v>7.74</v>
      </c>
      <c r="AS54" s="1">
        <f t="shared" si="43"/>
        <v>7.74</v>
      </c>
      <c r="AT54" s="1">
        <f t="shared" si="43"/>
        <v>7.74</v>
      </c>
      <c r="AU54" s="1">
        <f t="shared" si="43"/>
        <v>7.74</v>
      </c>
      <c r="AV54" s="1">
        <f t="shared" si="43"/>
        <v>7.74</v>
      </c>
      <c r="AW54" s="1">
        <f t="shared" si="43"/>
        <v>7.74</v>
      </c>
      <c r="AX54" s="1">
        <f t="shared" si="43"/>
        <v>7.74</v>
      </c>
      <c r="AY54" s="1">
        <f t="shared" si="43"/>
        <v>7.74</v>
      </c>
      <c r="AZ54" s="1">
        <f t="shared" si="43"/>
        <v>7.74</v>
      </c>
      <c r="BA54" s="1">
        <f t="shared" si="43"/>
        <v>7.74</v>
      </c>
      <c r="BB54" s="1">
        <f t="shared" si="43"/>
        <v>7.74</v>
      </c>
      <c r="BC54" s="1">
        <f t="shared" si="43"/>
        <v>7.74</v>
      </c>
      <c r="BD54" s="1">
        <f t="shared" si="43"/>
        <v>7.74</v>
      </c>
      <c r="BE54" s="1">
        <f t="shared" si="43"/>
        <v>7.74</v>
      </c>
      <c r="BF54" s="1">
        <f t="shared" si="43"/>
        <v>7.74</v>
      </c>
      <c r="BG54" s="1">
        <f t="shared" si="43"/>
        <v>7.74</v>
      </c>
      <c r="BH54" s="1">
        <f t="shared" si="43"/>
        <v>7.74</v>
      </c>
      <c r="BI54" s="1">
        <f t="shared" si="43"/>
        <v>7.74</v>
      </c>
      <c r="BJ54" s="1">
        <f t="shared" si="43"/>
        <v>7.74</v>
      </c>
      <c r="BK54" s="1">
        <f t="shared" si="43"/>
        <v>7.74</v>
      </c>
      <c r="BL54" s="1">
        <f t="shared" si="43"/>
        <v>7.74</v>
      </c>
      <c r="BM54" s="1">
        <f t="shared" si="43"/>
        <v>7.74</v>
      </c>
      <c r="BN54" s="1">
        <f t="shared" si="43"/>
        <v>7.74</v>
      </c>
      <c r="BP54" s="80"/>
    </row>
    <row r="55" spans="2:76" ht="28" x14ac:dyDescent="0.3">
      <c r="B55" s="126"/>
      <c r="D55" s="1" t="s">
        <v>22</v>
      </c>
      <c r="E55" s="2" t="s">
        <v>26</v>
      </c>
      <c r="F55" s="100">
        <f>F48*F40</f>
        <v>0.70000000000000007</v>
      </c>
      <c r="G55" s="100">
        <f t="shared" ref="G55:J55" si="44">G48*G40</f>
        <v>0.56000000000000005</v>
      </c>
      <c r="H55" s="100">
        <f t="shared" si="44"/>
        <v>0.84000000000000008</v>
      </c>
      <c r="I55" s="100">
        <f t="shared" si="44"/>
        <v>0.63000000000000012</v>
      </c>
      <c r="J55" s="100">
        <f t="shared" si="44"/>
        <v>0.77</v>
      </c>
      <c r="L55" s="100">
        <f t="shared" ref="L55:BN55" si="45">L48*L40</f>
        <v>0.70000000000000007</v>
      </c>
      <c r="M55" s="100">
        <f t="shared" si="45"/>
        <v>0.70000000000000007</v>
      </c>
      <c r="N55" s="100">
        <f t="shared" si="45"/>
        <v>0.70000000000000007</v>
      </c>
      <c r="O55" s="100">
        <f t="shared" si="45"/>
        <v>0.70000000000000007</v>
      </c>
      <c r="P55" s="100">
        <f t="shared" si="45"/>
        <v>0.70000000000000007</v>
      </c>
      <c r="Q55" s="100">
        <f t="shared" si="45"/>
        <v>0.70000000000000007</v>
      </c>
      <c r="R55" s="100">
        <f t="shared" si="45"/>
        <v>0.70000000000000007</v>
      </c>
      <c r="S55" s="100">
        <f t="shared" si="45"/>
        <v>0.70000000000000007</v>
      </c>
      <c r="T55" s="100">
        <f t="shared" si="45"/>
        <v>0.70000000000000007</v>
      </c>
      <c r="U55" s="100">
        <f t="shared" si="45"/>
        <v>0.70000000000000007</v>
      </c>
      <c r="V55" s="100">
        <f t="shared" si="45"/>
        <v>0.70000000000000007</v>
      </c>
      <c r="W55" s="100">
        <f t="shared" si="45"/>
        <v>0.70000000000000007</v>
      </c>
      <c r="X55" s="100">
        <f t="shared" si="45"/>
        <v>0.70000000000000007</v>
      </c>
      <c r="Y55" s="100">
        <f t="shared" si="45"/>
        <v>0.70000000000000007</v>
      </c>
      <c r="Z55" s="100">
        <f t="shared" si="45"/>
        <v>0.70000000000000007</v>
      </c>
      <c r="AA55" s="100">
        <f t="shared" si="45"/>
        <v>0.70000000000000007</v>
      </c>
      <c r="AB55" s="100">
        <f t="shared" si="45"/>
        <v>0.70000000000000007</v>
      </c>
      <c r="AC55" s="100">
        <f t="shared" si="45"/>
        <v>0.70000000000000007</v>
      </c>
      <c r="AD55" s="100">
        <f t="shared" si="45"/>
        <v>0.70000000000000007</v>
      </c>
      <c r="AE55" s="100">
        <f t="shared" si="45"/>
        <v>0.70000000000000007</v>
      </c>
      <c r="AF55" s="100">
        <f t="shared" si="45"/>
        <v>0.70000000000000007</v>
      </c>
      <c r="AG55" s="100">
        <f t="shared" si="45"/>
        <v>0.70000000000000007</v>
      </c>
      <c r="AH55" s="100">
        <f t="shared" si="45"/>
        <v>0.70000000000000007</v>
      </c>
      <c r="AI55" s="100">
        <f t="shared" si="45"/>
        <v>0.70000000000000007</v>
      </c>
      <c r="AJ55" s="100">
        <f t="shared" si="45"/>
        <v>0.70000000000000007</v>
      </c>
      <c r="AK55" s="100">
        <f t="shared" si="45"/>
        <v>0.70000000000000007</v>
      </c>
      <c r="AL55" s="100">
        <f t="shared" si="45"/>
        <v>0.70000000000000007</v>
      </c>
      <c r="AM55" s="100">
        <f t="shared" si="45"/>
        <v>0.70000000000000007</v>
      </c>
      <c r="AN55" s="100">
        <f t="shared" si="45"/>
        <v>0.70000000000000007</v>
      </c>
      <c r="AO55" s="100">
        <f t="shared" si="45"/>
        <v>0.70000000000000007</v>
      </c>
      <c r="AP55" s="100">
        <f t="shared" si="45"/>
        <v>0.70000000000000007</v>
      </c>
      <c r="AQ55" s="100">
        <f t="shared" si="45"/>
        <v>0.70000000000000007</v>
      </c>
      <c r="AR55" s="100">
        <f t="shared" si="45"/>
        <v>0.70000000000000007</v>
      </c>
      <c r="AS55" s="100">
        <f t="shared" si="45"/>
        <v>0.70000000000000007</v>
      </c>
      <c r="AT55" s="100">
        <f t="shared" si="45"/>
        <v>0.70000000000000007</v>
      </c>
      <c r="AU55" s="100">
        <f t="shared" si="45"/>
        <v>0.70000000000000007</v>
      </c>
      <c r="AV55" s="100">
        <f t="shared" si="45"/>
        <v>0.70000000000000007</v>
      </c>
      <c r="AW55" s="100">
        <f t="shared" si="45"/>
        <v>0.70000000000000007</v>
      </c>
      <c r="AX55" s="100">
        <f t="shared" si="45"/>
        <v>0.70000000000000007</v>
      </c>
      <c r="AY55" s="100">
        <f t="shared" si="45"/>
        <v>0.70000000000000007</v>
      </c>
      <c r="AZ55" s="100">
        <f t="shared" si="45"/>
        <v>0.70000000000000007</v>
      </c>
      <c r="BA55" s="100">
        <f t="shared" si="45"/>
        <v>0.70000000000000007</v>
      </c>
      <c r="BB55" s="100">
        <f t="shared" si="45"/>
        <v>0.70000000000000007</v>
      </c>
      <c r="BC55" s="100">
        <f t="shared" si="45"/>
        <v>0.70000000000000007</v>
      </c>
      <c r="BD55" s="100">
        <f t="shared" si="45"/>
        <v>0.70000000000000007</v>
      </c>
      <c r="BE55" s="100">
        <f t="shared" si="45"/>
        <v>0.70000000000000007</v>
      </c>
      <c r="BF55" s="100">
        <f t="shared" si="45"/>
        <v>0.70000000000000007</v>
      </c>
      <c r="BG55" s="100">
        <f t="shared" si="45"/>
        <v>0.70000000000000007</v>
      </c>
      <c r="BH55" s="100">
        <f t="shared" si="45"/>
        <v>0.70000000000000007</v>
      </c>
      <c r="BI55" s="100">
        <f t="shared" si="45"/>
        <v>0.70000000000000007</v>
      </c>
      <c r="BJ55" s="100">
        <f t="shared" si="45"/>
        <v>0.70000000000000007</v>
      </c>
      <c r="BK55" s="100">
        <f t="shared" si="45"/>
        <v>0.70000000000000007</v>
      </c>
      <c r="BL55" s="100">
        <f t="shared" si="45"/>
        <v>0.70000000000000007</v>
      </c>
      <c r="BM55" s="100">
        <f t="shared" si="45"/>
        <v>0.70000000000000007</v>
      </c>
      <c r="BN55" s="100">
        <f t="shared" si="45"/>
        <v>0.70000000000000007</v>
      </c>
      <c r="BP55" s="80"/>
    </row>
    <row r="56" spans="2:76" ht="17.25" customHeight="1" x14ac:dyDescent="0.3">
      <c r="B56" s="126"/>
      <c r="D56" s="1" t="s">
        <v>24</v>
      </c>
      <c r="E56" s="2" t="s">
        <v>110</v>
      </c>
      <c r="F56" s="1">
        <f>F49*F42</f>
        <v>0.252</v>
      </c>
      <c r="G56" s="1">
        <f t="shared" ref="G56:J56" si="46">G49*G42</f>
        <v>1.1340000000000003</v>
      </c>
      <c r="H56" s="1">
        <f t="shared" si="46"/>
        <v>0.126</v>
      </c>
      <c r="I56" s="1">
        <f t="shared" si="46"/>
        <v>0.69300000000000006</v>
      </c>
      <c r="J56" s="1">
        <f t="shared" si="46"/>
        <v>0.18899999999999992</v>
      </c>
      <c r="L56" s="1">
        <f t="shared" ref="L56:BN56" si="47">L49*L42</f>
        <v>0.252</v>
      </c>
      <c r="M56" s="1">
        <f t="shared" si="47"/>
        <v>0.252</v>
      </c>
      <c r="N56" s="1">
        <f t="shared" si="47"/>
        <v>0.252</v>
      </c>
      <c r="O56" s="1">
        <f t="shared" si="47"/>
        <v>0.252</v>
      </c>
      <c r="P56" s="1">
        <f t="shared" si="47"/>
        <v>0.252</v>
      </c>
      <c r="Q56" s="1">
        <f t="shared" si="47"/>
        <v>0.252</v>
      </c>
      <c r="R56" s="1">
        <f t="shared" si="47"/>
        <v>0.252</v>
      </c>
      <c r="S56" s="1">
        <f t="shared" si="47"/>
        <v>0.252</v>
      </c>
      <c r="T56" s="1">
        <f t="shared" si="47"/>
        <v>0.252</v>
      </c>
      <c r="U56" s="1">
        <f t="shared" si="47"/>
        <v>0.252</v>
      </c>
      <c r="V56" s="1">
        <f t="shared" si="47"/>
        <v>0.252</v>
      </c>
      <c r="W56" s="1">
        <f t="shared" si="47"/>
        <v>0.252</v>
      </c>
      <c r="X56" s="1">
        <f t="shared" si="47"/>
        <v>0.252</v>
      </c>
      <c r="Y56" s="1">
        <f t="shared" si="47"/>
        <v>0.252</v>
      </c>
      <c r="Z56" s="1">
        <f t="shared" si="47"/>
        <v>0.252</v>
      </c>
      <c r="AA56" s="1">
        <f t="shared" si="47"/>
        <v>0.252</v>
      </c>
      <c r="AB56" s="1">
        <f t="shared" si="47"/>
        <v>0.252</v>
      </c>
      <c r="AC56" s="1">
        <f t="shared" si="47"/>
        <v>0.252</v>
      </c>
      <c r="AD56" s="1">
        <f t="shared" si="47"/>
        <v>0.252</v>
      </c>
      <c r="AE56" s="1">
        <f t="shared" si="47"/>
        <v>0.252</v>
      </c>
      <c r="AF56" s="1">
        <f t="shared" si="47"/>
        <v>0.252</v>
      </c>
      <c r="AG56" s="1">
        <f t="shared" si="47"/>
        <v>0.252</v>
      </c>
      <c r="AH56" s="1">
        <f t="shared" si="47"/>
        <v>0.252</v>
      </c>
      <c r="AI56" s="1">
        <f t="shared" si="47"/>
        <v>0.252</v>
      </c>
      <c r="AJ56" s="1">
        <f t="shared" si="47"/>
        <v>0.252</v>
      </c>
      <c r="AK56" s="1">
        <f t="shared" si="47"/>
        <v>0.252</v>
      </c>
      <c r="AL56" s="1">
        <f t="shared" si="47"/>
        <v>0.252</v>
      </c>
      <c r="AM56" s="1">
        <f t="shared" si="47"/>
        <v>0.252</v>
      </c>
      <c r="AN56" s="1">
        <f t="shared" si="47"/>
        <v>0.252</v>
      </c>
      <c r="AO56" s="1">
        <f t="shared" si="47"/>
        <v>0.252</v>
      </c>
      <c r="AP56" s="1">
        <f t="shared" si="47"/>
        <v>0.252</v>
      </c>
      <c r="AQ56" s="1">
        <f t="shared" si="47"/>
        <v>0.252</v>
      </c>
      <c r="AR56" s="1">
        <f t="shared" si="47"/>
        <v>0.252</v>
      </c>
      <c r="AS56" s="1">
        <f t="shared" si="47"/>
        <v>0.252</v>
      </c>
      <c r="AT56" s="1">
        <f t="shared" si="47"/>
        <v>0.252</v>
      </c>
      <c r="AU56" s="1">
        <f t="shared" si="47"/>
        <v>0.252</v>
      </c>
      <c r="AV56" s="1">
        <f t="shared" si="47"/>
        <v>0.252</v>
      </c>
      <c r="AW56" s="1">
        <f t="shared" si="47"/>
        <v>0.252</v>
      </c>
      <c r="AX56" s="1">
        <f t="shared" si="47"/>
        <v>0.252</v>
      </c>
      <c r="AY56" s="1">
        <f t="shared" si="47"/>
        <v>0.252</v>
      </c>
      <c r="AZ56" s="1">
        <f t="shared" si="47"/>
        <v>0.252</v>
      </c>
      <c r="BA56" s="1">
        <f t="shared" si="47"/>
        <v>0.252</v>
      </c>
      <c r="BB56" s="1">
        <f t="shared" si="47"/>
        <v>0.252</v>
      </c>
      <c r="BC56" s="1">
        <f t="shared" si="47"/>
        <v>0.252</v>
      </c>
      <c r="BD56" s="1">
        <f t="shared" si="47"/>
        <v>0.252</v>
      </c>
      <c r="BE56" s="1">
        <f t="shared" si="47"/>
        <v>0.252</v>
      </c>
      <c r="BF56" s="1">
        <f t="shared" si="47"/>
        <v>0.252</v>
      </c>
      <c r="BG56" s="1">
        <f t="shared" si="47"/>
        <v>0.252</v>
      </c>
      <c r="BH56" s="1">
        <f t="shared" si="47"/>
        <v>0.252</v>
      </c>
      <c r="BI56" s="1">
        <f t="shared" si="47"/>
        <v>0.252</v>
      </c>
      <c r="BJ56" s="1">
        <f t="shared" si="47"/>
        <v>0.252</v>
      </c>
      <c r="BK56" s="1">
        <f t="shared" si="47"/>
        <v>0.252</v>
      </c>
      <c r="BL56" s="1">
        <f t="shared" si="47"/>
        <v>0.252</v>
      </c>
      <c r="BM56" s="1">
        <f t="shared" si="47"/>
        <v>0.252</v>
      </c>
      <c r="BN56" s="1">
        <f t="shared" si="47"/>
        <v>0.252</v>
      </c>
      <c r="BP56" s="80"/>
    </row>
    <row r="57" spans="2:76" ht="14.5" thickBot="1" x14ac:dyDescent="0.3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P57" s="2"/>
    </row>
    <row r="58" spans="2:76" ht="42.5" thickBot="1" x14ac:dyDescent="0.35">
      <c r="B58" s="56"/>
      <c r="C58" s="90"/>
      <c r="D58" s="91"/>
      <c r="E58" s="92" t="s">
        <v>30</v>
      </c>
      <c r="F58" s="57">
        <f>SUM(F54:F56)</f>
        <v>8.6920000000000002</v>
      </c>
      <c r="G58" s="57">
        <f t="shared" ref="G58:J58" si="48">SUM(G54:G56)</f>
        <v>9.4340000000000011</v>
      </c>
      <c r="H58" s="57">
        <f t="shared" si="48"/>
        <v>8.7059999999999995</v>
      </c>
      <c r="I58" s="57">
        <f t="shared" si="48"/>
        <v>9.0630000000000006</v>
      </c>
      <c r="J58" s="57">
        <f t="shared" si="48"/>
        <v>8.6989999999999998</v>
      </c>
      <c r="K58" s="57">
        <f t="shared" ref="K58:BN58" si="49">SUM(K54:K56)</f>
        <v>0</v>
      </c>
      <c r="L58" s="57">
        <f t="shared" si="49"/>
        <v>8.6920000000000002</v>
      </c>
      <c r="M58" s="57">
        <f t="shared" si="49"/>
        <v>8.6920000000000002</v>
      </c>
      <c r="N58" s="57">
        <f t="shared" si="49"/>
        <v>8.6920000000000002</v>
      </c>
      <c r="O58" s="57">
        <f t="shared" si="49"/>
        <v>8.6920000000000002</v>
      </c>
      <c r="P58" s="57">
        <f t="shared" si="49"/>
        <v>8.6920000000000002</v>
      </c>
      <c r="Q58" s="57">
        <f t="shared" si="49"/>
        <v>8.6920000000000002</v>
      </c>
      <c r="R58" s="57">
        <f t="shared" si="49"/>
        <v>8.6920000000000002</v>
      </c>
      <c r="S58" s="57">
        <f t="shared" si="49"/>
        <v>8.6920000000000002</v>
      </c>
      <c r="T58" s="57">
        <f t="shared" si="49"/>
        <v>8.6920000000000002</v>
      </c>
      <c r="U58" s="57">
        <f t="shared" si="49"/>
        <v>8.6920000000000002</v>
      </c>
      <c r="V58" s="57">
        <f t="shared" si="49"/>
        <v>8.6920000000000002</v>
      </c>
      <c r="W58" s="57">
        <f t="shared" si="49"/>
        <v>8.6920000000000002</v>
      </c>
      <c r="X58" s="57">
        <f t="shared" si="49"/>
        <v>8.6920000000000002</v>
      </c>
      <c r="Y58" s="57">
        <f t="shared" si="49"/>
        <v>8.6920000000000002</v>
      </c>
      <c r="Z58" s="57">
        <f t="shared" si="49"/>
        <v>8.6920000000000002</v>
      </c>
      <c r="AA58" s="57">
        <f t="shared" si="49"/>
        <v>8.6920000000000002</v>
      </c>
      <c r="AB58" s="57">
        <f t="shared" si="49"/>
        <v>8.6920000000000002</v>
      </c>
      <c r="AC58" s="57">
        <f t="shared" si="49"/>
        <v>8.6920000000000002</v>
      </c>
      <c r="AD58" s="57">
        <f t="shared" si="49"/>
        <v>8.6920000000000002</v>
      </c>
      <c r="AE58" s="57">
        <f t="shared" si="49"/>
        <v>8.6920000000000002</v>
      </c>
      <c r="AF58" s="57">
        <f t="shared" si="49"/>
        <v>8.6920000000000002</v>
      </c>
      <c r="AG58" s="57">
        <f t="shared" si="49"/>
        <v>8.6920000000000002</v>
      </c>
      <c r="AH58" s="57">
        <f t="shared" si="49"/>
        <v>8.6920000000000002</v>
      </c>
      <c r="AI58" s="57">
        <f t="shared" si="49"/>
        <v>8.6920000000000002</v>
      </c>
      <c r="AJ58" s="57">
        <f t="shared" si="49"/>
        <v>8.6920000000000002</v>
      </c>
      <c r="AK58" s="57">
        <f t="shared" si="49"/>
        <v>8.6920000000000002</v>
      </c>
      <c r="AL58" s="57">
        <f t="shared" si="49"/>
        <v>8.6920000000000002</v>
      </c>
      <c r="AM58" s="57">
        <f t="shared" si="49"/>
        <v>8.6920000000000002</v>
      </c>
      <c r="AN58" s="57">
        <f t="shared" si="49"/>
        <v>8.6920000000000002</v>
      </c>
      <c r="AO58" s="57">
        <f t="shared" si="49"/>
        <v>8.6920000000000002</v>
      </c>
      <c r="AP58" s="57">
        <f t="shared" si="49"/>
        <v>8.6920000000000002</v>
      </c>
      <c r="AQ58" s="57">
        <f t="shared" si="49"/>
        <v>8.6920000000000002</v>
      </c>
      <c r="AR58" s="57">
        <f t="shared" si="49"/>
        <v>8.6920000000000002</v>
      </c>
      <c r="AS58" s="57">
        <f t="shared" si="49"/>
        <v>8.6920000000000002</v>
      </c>
      <c r="AT58" s="57">
        <f t="shared" si="49"/>
        <v>8.6920000000000002</v>
      </c>
      <c r="AU58" s="57">
        <f t="shared" si="49"/>
        <v>8.6920000000000002</v>
      </c>
      <c r="AV58" s="57">
        <f t="shared" si="49"/>
        <v>8.6920000000000002</v>
      </c>
      <c r="AW58" s="57">
        <f t="shared" si="49"/>
        <v>8.6920000000000002</v>
      </c>
      <c r="AX58" s="57">
        <f t="shared" si="49"/>
        <v>8.6920000000000002</v>
      </c>
      <c r="AY58" s="57">
        <f t="shared" si="49"/>
        <v>8.6920000000000002</v>
      </c>
      <c r="AZ58" s="57">
        <f t="shared" si="49"/>
        <v>8.6920000000000002</v>
      </c>
      <c r="BA58" s="57">
        <f t="shared" si="49"/>
        <v>8.6920000000000002</v>
      </c>
      <c r="BB58" s="57">
        <f t="shared" si="49"/>
        <v>8.6920000000000002</v>
      </c>
      <c r="BC58" s="57">
        <f t="shared" si="49"/>
        <v>8.6920000000000002</v>
      </c>
      <c r="BD58" s="57">
        <f t="shared" si="49"/>
        <v>8.6920000000000002</v>
      </c>
      <c r="BE58" s="57">
        <f t="shared" si="49"/>
        <v>8.6920000000000002</v>
      </c>
      <c r="BF58" s="57">
        <f t="shared" si="49"/>
        <v>8.6920000000000002</v>
      </c>
      <c r="BG58" s="57">
        <f t="shared" si="49"/>
        <v>8.6920000000000002</v>
      </c>
      <c r="BH58" s="57">
        <f t="shared" si="49"/>
        <v>8.6920000000000002</v>
      </c>
      <c r="BI58" s="57">
        <f t="shared" si="49"/>
        <v>8.6920000000000002</v>
      </c>
      <c r="BJ58" s="57">
        <f t="shared" si="49"/>
        <v>8.6920000000000002</v>
      </c>
      <c r="BK58" s="57">
        <f t="shared" si="49"/>
        <v>8.6920000000000002</v>
      </c>
      <c r="BL58" s="57">
        <f t="shared" si="49"/>
        <v>8.6920000000000002</v>
      </c>
      <c r="BM58" s="57">
        <f t="shared" si="49"/>
        <v>8.6920000000000002</v>
      </c>
      <c r="BN58" s="57">
        <f t="shared" si="49"/>
        <v>8.6920000000000002</v>
      </c>
    </row>
    <row r="59" spans="2:76" ht="14.5" thickBot="1" x14ac:dyDescent="0.35">
      <c r="E59" s="58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</row>
    <row r="60" spans="2:76" ht="28.5" thickBot="1" x14ac:dyDescent="0.35">
      <c r="B60" s="101"/>
      <c r="E60" s="11" t="s">
        <v>0</v>
      </c>
      <c r="F60" s="94">
        <f>F36/F58</f>
        <v>1.0795165548477728</v>
      </c>
      <c r="G60" s="12">
        <f>G36/G58</f>
        <v>0</v>
      </c>
      <c r="H60" s="12">
        <f>H36/H58</f>
        <v>0</v>
      </c>
      <c r="I60" s="12">
        <f>I36/I58</f>
        <v>0</v>
      </c>
      <c r="J60" s="12">
        <f>J36/J58</f>
        <v>0</v>
      </c>
      <c r="K60" s="12"/>
      <c r="L60" s="19">
        <f t="shared" ref="L60:BN60" si="50">L36/L58</f>
        <v>1.0289503409613856</v>
      </c>
      <c r="M60" s="19">
        <f t="shared" si="50"/>
        <v>1.0176756055725225</v>
      </c>
      <c r="N60" s="19">
        <f t="shared" si="50"/>
        <v>1.0064008701836589</v>
      </c>
      <c r="O60" s="19">
        <f t="shared" si="50"/>
        <v>0.99512613479479572</v>
      </c>
      <c r="P60" s="19">
        <f t="shared" si="50"/>
        <v>0.98385139940593214</v>
      </c>
      <c r="Q60" s="19">
        <f t="shared" si="50"/>
        <v>0.97257666401706888</v>
      </c>
      <c r="R60" s="19">
        <f t="shared" si="50"/>
        <v>0.96130192862820574</v>
      </c>
      <c r="S60" s="19">
        <f t="shared" si="50"/>
        <v>0.95002719323934226</v>
      </c>
      <c r="T60" s="19">
        <f t="shared" si="50"/>
        <v>0.93875245785047889</v>
      </c>
      <c r="U60" s="19">
        <f t="shared" si="50"/>
        <v>0.92747772246161564</v>
      </c>
      <c r="V60" s="19">
        <f t="shared" si="50"/>
        <v>0.91620298707275227</v>
      </c>
      <c r="W60" s="20">
        <f t="shared" si="50"/>
        <v>1.1042393903000236</v>
      </c>
      <c r="X60" s="20">
        <f t="shared" si="50"/>
        <v>1.0921396742729508</v>
      </c>
      <c r="Y60" s="20">
        <f t="shared" si="50"/>
        <v>1.080039958245878</v>
      </c>
      <c r="Z60" s="20">
        <f t="shared" si="50"/>
        <v>1.0679402422188051</v>
      </c>
      <c r="AA60" s="20">
        <f t="shared" si="50"/>
        <v>1.0558405261917323</v>
      </c>
      <c r="AB60" s="20">
        <f t="shared" si="50"/>
        <v>1.0437408101646595</v>
      </c>
      <c r="AC60" s="20">
        <f t="shared" si="50"/>
        <v>1.0316410941375864</v>
      </c>
      <c r="AD60" s="20">
        <f t="shared" si="50"/>
        <v>1.0195413781105138</v>
      </c>
      <c r="AE60" s="20">
        <f t="shared" si="50"/>
        <v>1.007441662083441</v>
      </c>
      <c r="AF60" s="20">
        <f t="shared" si="50"/>
        <v>0.99534194605636817</v>
      </c>
      <c r="AG60" s="20">
        <f t="shared" si="50"/>
        <v>0.98324223002929523</v>
      </c>
      <c r="AH60" s="21">
        <f t="shared" si="50"/>
        <v>1.1914161842710778</v>
      </c>
      <c r="AI60" s="21">
        <f t="shared" si="50"/>
        <v>1.1783612275050257</v>
      </c>
      <c r="AJ60" s="21">
        <f t="shared" si="50"/>
        <v>1.1653062707389736</v>
      </c>
      <c r="AK60" s="21">
        <f t="shared" si="50"/>
        <v>1.1522513139729209</v>
      </c>
      <c r="AL60" s="21">
        <f t="shared" si="50"/>
        <v>1.1391963572068688</v>
      </c>
      <c r="AM60" s="21">
        <f t="shared" si="50"/>
        <v>1.1261414004408166</v>
      </c>
      <c r="AN60" s="21">
        <f t="shared" si="50"/>
        <v>1.1130864436747643</v>
      </c>
      <c r="AO60" s="21">
        <f t="shared" si="50"/>
        <v>1.1000314869087122</v>
      </c>
      <c r="AP60" s="21">
        <f t="shared" si="50"/>
        <v>1.0869765301426597</v>
      </c>
      <c r="AQ60" s="21">
        <f t="shared" si="50"/>
        <v>1.0739215733766077</v>
      </c>
      <c r="AR60" s="21">
        <f t="shared" si="50"/>
        <v>1.0608666166105551</v>
      </c>
      <c r="AS60" s="22">
        <f t="shared" si="50"/>
        <v>1.2935375714943131</v>
      </c>
      <c r="AT60" s="22">
        <f t="shared" si="50"/>
        <v>1.279363618434028</v>
      </c>
      <c r="AU60" s="22">
        <f t="shared" si="50"/>
        <v>1.2651896653737424</v>
      </c>
      <c r="AV60" s="22">
        <f t="shared" si="50"/>
        <v>1.2510157123134571</v>
      </c>
      <c r="AW60" s="22">
        <f t="shared" si="50"/>
        <v>1.236841759253172</v>
      </c>
      <c r="AX60" s="22">
        <f t="shared" si="50"/>
        <v>1.2226678061928866</v>
      </c>
      <c r="AY60" s="22">
        <f t="shared" si="50"/>
        <v>1.2084938531326013</v>
      </c>
      <c r="AZ60" s="22">
        <f t="shared" si="50"/>
        <v>1.1943199000723157</v>
      </c>
      <c r="BA60" s="22">
        <f t="shared" si="50"/>
        <v>1.1801459470120308</v>
      </c>
      <c r="BB60" s="22">
        <f t="shared" si="50"/>
        <v>1.1659719939517454</v>
      </c>
      <c r="BC60" s="22">
        <f t="shared" si="50"/>
        <v>1.1517980408914601</v>
      </c>
      <c r="BD60" s="344">
        <f t="shared" si="50"/>
        <v>1.4148067188219051</v>
      </c>
      <c r="BE60" s="344">
        <f t="shared" si="50"/>
        <v>1.3993039576622179</v>
      </c>
      <c r="BF60" s="344">
        <f t="shared" si="50"/>
        <v>1.3838011965025312</v>
      </c>
      <c r="BG60" s="344">
        <f t="shared" si="50"/>
        <v>1.368298435342844</v>
      </c>
      <c r="BH60" s="344">
        <f t="shared" si="50"/>
        <v>1.3527956741831568</v>
      </c>
      <c r="BI60" s="344">
        <f t="shared" si="50"/>
        <v>1.3372929130234699</v>
      </c>
      <c r="BJ60" s="344">
        <f t="shared" si="50"/>
        <v>1.3217901518637829</v>
      </c>
      <c r="BK60" s="344">
        <f t="shared" si="50"/>
        <v>1.3062873907040955</v>
      </c>
      <c r="BL60" s="344">
        <f t="shared" si="50"/>
        <v>1.2907846295444085</v>
      </c>
      <c r="BM60" s="344">
        <f t="shared" si="50"/>
        <v>1.2752818683847216</v>
      </c>
      <c r="BN60" s="345">
        <f t="shared" si="50"/>
        <v>1.2597791072250344</v>
      </c>
    </row>
    <row r="61" spans="2:76" ht="14.5" thickBot="1" x14ac:dyDescent="0.35">
      <c r="B61" s="101"/>
      <c r="F61" s="94">
        <f>F60-1</f>
        <v>7.9516554847772758E-2</v>
      </c>
      <c r="L61" s="8" t="s">
        <v>13</v>
      </c>
      <c r="W61" s="8" t="s">
        <v>14</v>
      </c>
      <c r="AH61" s="8" t="s">
        <v>15</v>
      </c>
      <c r="AS61" s="8" t="s">
        <v>16</v>
      </c>
      <c r="BD61" s="8" t="s">
        <v>17</v>
      </c>
    </row>
    <row r="62" spans="2:76" x14ac:dyDescent="0.3">
      <c r="B62" s="93"/>
      <c r="C62" s="93"/>
      <c r="E62" s="93"/>
      <c r="G62" s="1" t="s">
        <v>9</v>
      </c>
    </row>
    <row r="63" spans="2:76" x14ac:dyDescent="0.3">
      <c r="F63" s="2"/>
      <c r="G63" s="2"/>
      <c r="H63" s="5">
        <v>9</v>
      </c>
      <c r="I63" s="5">
        <v>10</v>
      </c>
      <c r="J63" s="5">
        <v>11</v>
      </c>
      <c r="K63" s="5">
        <v>12</v>
      </c>
      <c r="L63" s="5">
        <v>13</v>
      </c>
      <c r="M63" s="5">
        <v>14</v>
      </c>
      <c r="N63" s="5">
        <v>15</v>
      </c>
      <c r="O63" s="5">
        <v>16</v>
      </c>
      <c r="P63" s="5">
        <v>17</v>
      </c>
      <c r="Q63" s="5">
        <v>18</v>
      </c>
      <c r="R63" s="5">
        <v>19</v>
      </c>
    </row>
    <row r="64" spans="2:76" ht="14.5" thickBot="1" x14ac:dyDescent="0.35">
      <c r="B64" s="1"/>
      <c r="C64" s="1"/>
      <c r="E64" s="1" t="s">
        <v>10</v>
      </c>
      <c r="H64" s="384">
        <f t="shared" ref="H64:R64" si="51">VLOOKUP("X",$D$7:$W$17,H63,FALSE)</f>
        <v>0.3</v>
      </c>
      <c r="I64" s="384">
        <f t="shared" si="51"/>
        <v>0.37</v>
      </c>
      <c r="J64" s="384">
        <f t="shared" si="51"/>
        <v>0.43999999999999995</v>
      </c>
      <c r="K64" s="384">
        <f t="shared" si="51"/>
        <v>0.51</v>
      </c>
      <c r="L64" s="384">
        <f t="shared" si="51"/>
        <v>0.57999999999999996</v>
      </c>
      <c r="M64" s="384">
        <f t="shared" si="51"/>
        <v>0.64999999999999991</v>
      </c>
      <c r="N64" s="384">
        <f t="shared" si="51"/>
        <v>0.72</v>
      </c>
      <c r="O64" s="384">
        <f t="shared" si="51"/>
        <v>0.78999999999999992</v>
      </c>
      <c r="P64" s="384">
        <f t="shared" si="51"/>
        <v>0.85999999999999988</v>
      </c>
      <c r="Q64" s="384">
        <f t="shared" si="51"/>
        <v>0.92999999999999994</v>
      </c>
      <c r="R64" s="384">
        <f t="shared" si="51"/>
        <v>1</v>
      </c>
    </row>
    <row r="65" spans="2:18" x14ac:dyDescent="0.3">
      <c r="B65" s="88"/>
      <c r="C65" s="88"/>
      <c r="E65" s="88" t="str">
        <f>VLOOKUP("S",$D$7:$W$17,2,FALSE)</f>
        <v>e-consult supply-related demand</v>
      </c>
      <c r="F65" s="7" t="s">
        <v>2</v>
      </c>
      <c r="G65" s="104">
        <f>VLOOKUP("S",$D$7:$K$17,4,FALSE)</f>
        <v>-0.1</v>
      </c>
      <c r="H65" s="27">
        <f>L60</f>
        <v>1.0289503409613856</v>
      </c>
      <c r="I65" s="28">
        <f>M60</f>
        <v>1.0176756055725225</v>
      </c>
      <c r="J65" s="28">
        <f>N60</f>
        <v>1.0064008701836589</v>
      </c>
      <c r="K65" s="28">
        <f>O60</f>
        <v>0.99512613479479572</v>
      </c>
      <c r="L65" s="28">
        <f t="shared" ref="L65:R65" si="52">P60</f>
        <v>0.98385139940593214</v>
      </c>
      <c r="M65" s="28">
        <f>Q60</f>
        <v>0.97257666401706888</v>
      </c>
      <c r="N65" s="28">
        <f>R60</f>
        <v>0.96130192862820574</v>
      </c>
      <c r="O65" s="28">
        <f>S60</f>
        <v>0.95002719323934226</v>
      </c>
      <c r="P65" s="28">
        <f>T60</f>
        <v>0.93875245785047889</v>
      </c>
      <c r="Q65" s="28">
        <f t="shared" si="52"/>
        <v>0.92747772246161564</v>
      </c>
      <c r="R65" s="29">
        <f t="shared" si="52"/>
        <v>0.91620298707275227</v>
      </c>
    </row>
    <row r="66" spans="2:18" x14ac:dyDescent="0.3">
      <c r="B66" s="1"/>
      <c r="C66" s="1"/>
      <c r="E66" s="1"/>
      <c r="F66" s="7" t="s">
        <v>6</v>
      </c>
      <c r="G66" s="104">
        <f>VLOOKUP("S",$D$7:$K$17,6,FALSE)</f>
        <v>-2.5000000000000008E-2</v>
      </c>
      <c r="H66" s="30">
        <f>W60</f>
        <v>1.1042393903000236</v>
      </c>
      <c r="I66" s="31">
        <f>X60</f>
        <v>1.0921396742729508</v>
      </c>
      <c r="J66" s="31">
        <f>Y60</f>
        <v>1.080039958245878</v>
      </c>
      <c r="K66" s="31">
        <f>Z60</f>
        <v>1.0679402422188051</v>
      </c>
      <c r="L66" s="31">
        <f t="shared" ref="L66:P66" si="53">AA60</f>
        <v>1.0558405261917323</v>
      </c>
      <c r="M66" s="31">
        <f t="shared" si="53"/>
        <v>1.0437408101646595</v>
      </c>
      <c r="N66" s="31">
        <f t="shared" si="53"/>
        <v>1.0316410941375864</v>
      </c>
      <c r="O66" s="31">
        <f t="shared" si="53"/>
        <v>1.0195413781105138</v>
      </c>
      <c r="P66" s="31">
        <f t="shared" si="53"/>
        <v>1.007441662083441</v>
      </c>
      <c r="Q66" s="31">
        <f t="shared" ref="Q66:R66" si="54">AF60</f>
        <v>0.99534194605636817</v>
      </c>
      <c r="R66" s="32">
        <f t="shared" si="54"/>
        <v>0.98324223002929523</v>
      </c>
    </row>
    <row r="67" spans="2:18" x14ac:dyDescent="0.3">
      <c r="B67" s="1"/>
      <c r="C67" s="1"/>
      <c r="E67" s="1"/>
      <c r="F67" s="7" t="s">
        <v>7</v>
      </c>
      <c r="G67" s="104">
        <f>VLOOKUP("S",$D$7:$K$17,3,FALSE)</f>
        <v>0.05</v>
      </c>
      <c r="H67" s="33">
        <f t="shared" ref="H67:I67" si="55">AH60</f>
        <v>1.1914161842710778</v>
      </c>
      <c r="I67" s="33">
        <f t="shared" si="55"/>
        <v>1.1783612275050257</v>
      </c>
      <c r="J67" s="33">
        <f>AJ60</f>
        <v>1.1653062707389736</v>
      </c>
      <c r="K67" s="33">
        <f>AK60</f>
        <v>1.1522513139729209</v>
      </c>
      <c r="L67" s="33">
        <f t="shared" ref="L67:P67" si="56">AL60</f>
        <v>1.1391963572068688</v>
      </c>
      <c r="M67" s="33">
        <f t="shared" si="56"/>
        <v>1.1261414004408166</v>
      </c>
      <c r="N67" s="33">
        <f t="shared" si="56"/>
        <v>1.1130864436747643</v>
      </c>
      <c r="O67" s="33">
        <f t="shared" si="56"/>
        <v>1.1000314869087122</v>
      </c>
      <c r="P67" s="33">
        <f t="shared" si="56"/>
        <v>1.0869765301426597</v>
      </c>
      <c r="Q67" s="33">
        <f t="shared" ref="Q67:R67" si="57">AQ60</f>
        <v>1.0739215733766077</v>
      </c>
      <c r="R67" s="34">
        <f t="shared" si="57"/>
        <v>1.0608666166105551</v>
      </c>
    </row>
    <row r="68" spans="2:18" x14ac:dyDescent="0.3">
      <c r="B68" s="1"/>
      <c r="C68" s="1"/>
      <c r="E68" s="1"/>
      <c r="F68" s="7" t="s">
        <v>8</v>
      </c>
      <c r="G68" s="104">
        <f>VLOOKUP("S",$D$7:$K$17,7,FALSE)</f>
        <v>0.125</v>
      </c>
      <c r="H68" s="35">
        <f>AS60</f>
        <v>1.2935375714943131</v>
      </c>
      <c r="I68" s="36">
        <f>AT60</f>
        <v>1.279363618434028</v>
      </c>
      <c r="J68" s="36">
        <f>AU60</f>
        <v>1.2651896653737424</v>
      </c>
      <c r="K68" s="36">
        <f>AV60</f>
        <v>1.2510157123134571</v>
      </c>
      <c r="L68" s="36">
        <f t="shared" ref="L68:P68" si="58">AW60</f>
        <v>1.236841759253172</v>
      </c>
      <c r="M68" s="36">
        <f t="shared" si="58"/>
        <v>1.2226678061928866</v>
      </c>
      <c r="N68" s="36">
        <f t="shared" si="58"/>
        <v>1.2084938531326013</v>
      </c>
      <c r="O68" s="36">
        <f t="shared" si="58"/>
        <v>1.1943199000723157</v>
      </c>
      <c r="P68" s="36">
        <f t="shared" si="58"/>
        <v>1.1801459470120308</v>
      </c>
      <c r="Q68" s="36">
        <f t="shared" ref="Q68:R68" si="59">BB60</f>
        <v>1.1659719939517454</v>
      </c>
      <c r="R68" s="37">
        <f t="shared" si="59"/>
        <v>1.1517980408914601</v>
      </c>
    </row>
    <row r="69" spans="2:18" ht="14.5" thickBot="1" x14ac:dyDescent="0.35">
      <c r="B69" s="1"/>
      <c r="C69" s="1"/>
      <c r="E69" s="1"/>
      <c r="F69" s="7" t="s">
        <v>1</v>
      </c>
      <c r="G69" s="104">
        <f>VLOOKUP("S",$D$7:$K$17,5,FALSE)</f>
        <v>0.2</v>
      </c>
      <c r="H69" s="38">
        <f>BD60</f>
        <v>1.4148067188219051</v>
      </c>
      <c r="I69" s="39">
        <f>BE60</f>
        <v>1.3993039576622179</v>
      </c>
      <c r="J69" s="39">
        <f>BF60</f>
        <v>1.3838011965025312</v>
      </c>
      <c r="K69" s="39">
        <f>BG60</f>
        <v>1.368298435342844</v>
      </c>
      <c r="L69" s="39">
        <f t="shared" ref="L69:P69" si="60">BH60</f>
        <v>1.3527956741831568</v>
      </c>
      <c r="M69" s="39">
        <f t="shared" si="60"/>
        <v>1.3372929130234699</v>
      </c>
      <c r="N69" s="39">
        <f t="shared" si="60"/>
        <v>1.3217901518637829</v>
      </c>
      <c r="O69" s="39">
        <f t="shared" si="60"/>
        <v>1.3062873907040955</v>
      </c>
      <c r="P69" s="39">
        <f t="shared" si="60"/>
        <v>1.2907846295444085</v>
      </c>
      <c r="Q69" s="39">
        <f t="shared" ref="Q69:R69" si="61">BM60</f>
        <v>1.2752818683847216</v>
      </c>
      <c r="R69" s="40">
        <f t="shared" si="61"/>
        <v>1.2597791072250344</v>
      </c>
    </row>
    <row r="70" spans="2:18" x14ac:dyDescent="0.3">
      <c r="E70" s="2" t="s">
        <v>76</v>
      </c>
    </row>
    <row r="71" spans="2:18" x14ac:dyDescent="0.3">
      <c r="E71" s="2" t="s">
        <v>52</v>
      </c>
      <c r="F71" s="6" t="str">
        <f>INDEX($C$8:$C$17,MATCH("S",$D$8:$D$17,0),1)</f>
        <v>percent</v>
      </c>
    </row>
    <row r="72" spans="2:18" x14ac:dyDescent="0.3">
      <c r="E72" s="2" t="s">
        <v>51</v>
      </c>
      <c r="F72" s="6" t="str">
        <f>INDEX($C$8:$C$17,MATCH("X",$D$8:$D$17,0),1)</f>
        <v>percent</v>
      </c>
    </row>
    <row r="75" spans="2:18" ht="14.5" thickBot="1" x14ac:dyDescent="0.35">
      <c r="G75" s="385"/>
      <c r="H75" s="104">
        <f>H64</f>
        <v>0.3</v>
      </c>
      <c r="I75" s="104">
        <f t="shared" ref="I75:R75" si="62">I64</f>
        <v>0.37</v>
      </c>
      <c r="J75" s="104">
        <f t="shared" si="62"/>
        <v>0.43999999999999995</v>
      </c>
      <c r="K75" s="104">
        <f t="shared" si="62"/>
        <v>0.51</v>
      </c>
      <c r="L75" s="104">
        <f t="shared" si="62"/>
        <v>0.57999999999999996</v>
      </c>
      <c r="M75" s="104">
        <f t="shared" si="62"/>
        <v>0.64999999999999991</v>
      </c>
      <c r="N75" s="104">
        <f t="shared" si="62"/>
        <v>0.72</v>
      </c>
      <c r="O75" s="104">
        <f t="shared" si="62"/>
        <v>0.78999999999999992</v>
      </c>
      <c r="P75" s="104">
        <f t="shared" si="62"/>
        <v>0.85999999999999988</v>
      </c>
      <c r="Q75" s="104">
        <f t="shared" si="62"/>
        <v>0.92999999999999994</v>
      </c>
      <c r="R75" s="104">
        <f t="shared" si="62"/>
        <v>1</v>
      </c>
    </row>
    <row r="76" spans="2:18" x14ac:dyDescent="0.3">
      <c r="F76" s="7" t="s">
        <v>2</v>
      </c>
      <c r="G76" s="387">
        <f>G65</f>
        <v>-0.1</v>
      </c>
      <c r="H76" s="27">
        <f>H65-1</f>
        <v>2.8950340961385601E-2</v>
      </c>
      <c r="I76" s="28">
        <f t="shared" ref="I76:R76" si="63">I65-1</f>
        <v>1.7675605572522457E-2</v>
      </c>
      <c r="J76" s="28">
        <f t="shared" si="63"/>
        <v>6.4008701836588688E-3</v>
      </c>
      <c r="K76" s="28">
        <f t="shared" si="63"/>
        <v>-4.8738652052042752E-3</v>
      </c>
      <c r="L76" s="28">
        <f t="shared" si="63"/>
        <v>-1.6148600594067863E-2</v>
      </c>
      <c r="M76" s="28">
        <f t="shared" si="63"/>
        <v>-2.7423335982931119E-2</v>
      </c>
      <c r="N76" s="28">
        <f t="shared" si="63"/>
        <v>-3.8698071371794263E-2</v>
      </c>
      <c r="O76" s="28">
        <f t="shared" si="63"/>
        <v>-4.997280676065774E-2</v>
      </c>
      <c r="P76" s="28">
        <f t="shared" si="63"/>
        <v>-6.1247542149521106E-2</v>
      </c>
      <c r="Q76" s="28">
        <f t="shared" si="63"/>
        <v>-7.2522277538384361E-2</v>
      </c>
      <c r="R76" s="29">
        <f t="shared" si="63"/>
        <v>-8.3797012927247727E-2</v>
      </c>
    </row>
    <row r="77" spans="2:18" x14ac:dyDescent="0.3">
      <c r="F77" s="7" t="s">
        <v>6</v>
      </c>
      <c r="G77" s="387">
        <f>G66</f>
        <v>-2.5000000000000008E-2</v>
      </c>
      <c r="H77" s="30">
        <f t="shared" ref="H77:R80" si="64">H66-1</f>
        <v>0.1042393903000236</v>
      </c>
      <c r="I77" s="31">
        <f t="shared" si="64"/>
        <v>9.2139674272950778E-2</v>
      </c>
      <c r="J77" s="31">
        <f t="shared" si="64"/>
        <v>8.0039958245877951E-2</v>
      </c>
      <c r="K77" s="31">
        <f t="shared" si="64"/>
        <v>6.7940242218805125E-2</v>
      </c>
      <c r="L77" s="31">
        <f t="shared" si="64"/>
        <v>5.5840526191732298E-2</v>
      </c>
      <c r="M77" s="31">
        <f t="shared" si="64"/>
        <v>4.3740810164659472E-2</v>
      </c>
      <c r="N77" s="31">
        <f t="shared" si="64"/>
        <v>3.1641094137586423E-2</v>
      </c>
      <c r="O77" s="31">
        <f t="shared" si="64"/>
        <v>1.9541378110513818E-2</v>
      </c>
      <c r="P77" s="31">
        <f t="shared" si="64"/>
        <v>7.4416620834409919E-3</v>
      </c>
      <c r="Q77" s="31">
        <f t="shared" si="64"/>
        <v>-4.6580539436318347E-3</v>
      </c>
      <c r="R77" s="32">
        <f t="shared" si="64"/>
        <v>-1.6757769970704772E-2</v>
      </c>
    </row>
    <row r="78" spans="2:18" x14ac:dyDescent="0.3">
      <c r="F78" s="7" t="s">
        <v>7</v>
      </c>
      <c r="G78" s="387">
        <f>G67</f>
        <v>0.05</v>
      </c>
      <c r="H78" s="33">
        <f t="shared" si="64"/>
        <v>0.19141618427107776</v>
      </c>
      <c r="I78" s="33">
        <f t="shared" si="64"/>
        <v>0.1783612275050257</v>
      </c>
      <c r="J78" s="33">
        <f t="shared" si="64"/>
        <v>0.16530627073897364</v>
      </c>
      <c r="K78" s="33">
        <f t="shared" si="64"/>
        <v>0.15225131397292091</v>
      </c>
      <c r="L78" s="33">
        <f t="shared" si="64"/>
        <v>0.13919635720686885</v>
      </c>
      <c r="M78" s="33">
        <f t="shared" si="64"/>
        <v>0.12614140044081656</v>
      </c>
      <c r="N78" s="33">
        <f t="shared" si="64"/>
        <v>0.11308644367476428</v>
      </c>
      <c r="O78" s="33">
        <f t="shared" si="64"/>
        <v>0.10003148690871222</v>
      </c>
      <c r="P78" s="33">
        <f t="shared" si="64"/>
        <v>8.6976530142659714E-2</v>
      </c>
      <c r="Q78" s="33">
        <f t="shared" si="64"/>
        <v>7.3921573376607652E-2</v>
      </c>
      <c r="R78" s="34">
        <f t="shared" si="64"/>
        <v>6.0866616610555146E-2</v>
      </c>
    </row>
    <row r="79" spans="2:18" x14ac:dyDescent="0.3">
      <c r="F79" s="7" t="s">
        <v>8</v>
      </c>
      <c r="G79" s="387">
        <f>G68</f>
        <v>0.125</v>
      </c>
      <c r="H79" s="35">
        <f t="shared" si="64"/>
        <v>0.29353757149431314</v>
      </c>
      <c r="I79" s="36">
        <f t="shared" si="64"/>
        <v>0.27936361843402802</v>
      </c>
      <c r="J79" s="36">
        <f t="shared" si="64"/>
        <v>0.26518966537374244</v>
      </c>
      <c r="K79" s="36">
        <f t="shared" si="64"/>
        <v>0.2510157123134571</v>
      </c>
      <c r="L79" s="36">
        <f t="shared" si="64"/>
        <v>0.23684175925317197</v>
      </c>
      <c r="M79" s="36">
        <f t="shared" si="64"/>
        <v>0.22266780619288662</v>
      </c>
      <c r="N79" s="36">
        <f t="shared" si="64"/>
        <v>0.20849385313260127</v>
      </c>
      <c r="O79" s="36">
        <f t="shared" si="64"/>
        <v>0.1943199000723157</v>
      </c>
      <c r="P79" s="36">
        <f t="shared" si="64"/>
        <v>0.18014594701203079</v>
      </c>
      <c r="Q79" s="36">
        <f t="shared" si="64"/>
        <v>0.16597199395174544</v>
      </c>
      <c r="R79" s="37">
        <f t="shared" si="64"/>
        <v>0.1517980408914601</v>
      </c>
    </row>
    <row r="80" spans="2:18" ht="14.5" thickBot="1" x14ac:dyDescent="0.35">
      <c r="F80" s="7" t="s">
        <v>1</v>
      </c>
      <c r="G80" s="387">
        <f>G69</f>
        <v>0.2</v>
      </c>
      <c r="H80" s="38">
        <f t="shared" si="64"/>
        <v>0.41480671882190512</v>
      </c>
      <c r="I80" s="39">
        <f t="shared" si="64"/>
        <v>0.39930395766221793</v>
      </c>
      <c r="J80" s="39">
        <f t="shared" si="64"/>
        <v>0.38380119650253119</v>
      </c>
      <c r="K80" s="39">
        <f t="shared" si="64"/>
        <v>0.36829843534284401</v>
      </c>
      <c r="L80" s="39">
        <f t="shared" si="64"/>
        <v>0.35279567418315683</v>
      </c>
      <c r="M80" s="39">
        <f t="shared" si="64"/>
        <v>0.33729291302346986</v>
      </c>
      <c r="N80" s="39">
        <f t="shared" si="64"/>
        <v>0.3217901518637829</v>
      </c>
      <c r="O80" s="39">
        <f t="shared" si="64"/>
        <v>0.3062873907040955</v>
      </c>
      <c r="P80" s="39">
        <f t="shared" si="64"/>
        <v>0.29078462954440853</v>
      </c>
      <c r="Q80" s="39">
        <f t="shared" si="64"/>
        <v>0.27528186838472157</v>
      </c>
      <c r="R80" s="40">
        <f t="shared" si="64"/>
        <v>0.25977910722503439</v>
      </c>
    </row>
  </sheetData>
  <sheetProtection formatCells="0" formatColumns="0" formatRows="0" insertColumns="0" insertRows="0" sort="0" autoFilter="0" pivotTables="0"/>
  <conditionalFormatting sqref="G65:G69">
    <cfRule type="expression" dxfId="3" priority="4">
      <formula>$F$71="number"</formula>
    </cfRule>
  </conditionalFormatting>
  <conditionalFormatting sqref="H64:R64">
    <cfRule type="expression" dxfId="2" priority="3">
      <formula>$F$72="number"</formula>
    </cfRule>
  </conditionalFormatting>
  <conditionalFormatting sqref="G76:G80">
    <cfRule type="expression" dxfId="1" priority="2">
      <formula>$F$72="number"</formula>
    </cfRule>
  </conditionalFormatting>
  <conditionalFormatting sqref="H75:R75">
    <cfRule type="expression" dxfId="0" priority="1">
      <formula>$F$73="number"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89E56-FB5D-4C03-8A6C-0254681690D0}">
  <sheetPr codeName="Sheet2"/>
  <dimension ref="N2:P17"/>
  <sheetViews>
    <sheetView workbookViewId="0">
      <selection activeCell="S17" sqref="S17"/>
    </sheetView>
  </sheetViews>
  <sheetFormatPr defaultRowHeight="14" x14ac:dyDescent="0.3"/>
  <cols>
    <col min="14" max="14" width="24.1640625" customWidth="1"/>
    <col min="15" max="15" width="9" customWidth="1"/>
  </cols>
  <sheetData>
    <row r="2" spans="14:16" x14ac:dyDescent="0.3">
      <c r="N2" t="str">
        <f>'User Inputs'!C2</f>
        <v>Which access route do you wish to model?  (select drop-down)</v>
      </c>
      <c r="O2" s="124" t="str">
        <f>AltCon_txt &amp; " compared to conventional: Impact on primary care workload"</f>
        <v>e-consult first compared to conventional: Impact on primary care workload</v>
      </c>
    </row>
    <row r="3" spans="14:16" x14ac:dyDescent="0.3">
      <c r="N3" t="str">
        <f>'User Inputs'!C4</f>
        <v>Select the x-axis for the chart (e-consult first variables in blue)</v>
      </c>
      <c r="O3" t="str">
        <f>X_axis_txt</f>
        <v>Phone via e-consult</v>
      </c>
    </row>
    <row r="4" spans="14:16" x14ac:dyDescent="0.3">
      <c r="N4" t="str">
        <f>'User Inputs'!C5</f>
        <v>Select the legend for the chart (e-consult first variables in blue)</v>
      </c>
      <c r="O4" t="str">
        <f>legend_txt</f>
        <v>e-consult supply-related demand</v>
      </c>
    </row>
    <row r="5" spans="14:16" x14ac:dyDescent="0.3">
      <c r="N5" t="s">
        <v>21</v>
      </c>
      <c r="O5" t="s">
        <v>125</v>
      </c>
    </row>
    <row r="6" spans="14:16" ht="20" x14ac:dyDescent="0.4">
      <c r="N6" t="s">
        <v>99</v>
      </c>
      <c r="O6" s="120">
        <f>'Sensitivity Analysis'!F61</f>
        <v>7.9516554847772758E-2</v>
      </c>
    </row>
    <row r="7" spans="14:16" x14ac:dyDescent="0.3">
      <c r="O7" s="103"/>
    </row>
    <row r="8" spans="14:16" x14ac:dyDescent="0.3">
      <c r="O8" s="69"/>
    </row>
    <row r="9" spans="14:16" x14ac:dyDescent="0.3">
      <c r="O9" s="69"/>
    </row>
    <row r="10" spans="14:16" x14ac:dyDescent="0.3">
      <c r="O10" s="69"/>
    </row>
    <row r="13" spans="14:16" x14ac:dyDescent="0.3">
      <c r="N13" t="s">
        <v>100</v>
      </c>
    </row>
    <row r="14" spans="14:16" x14ac:dyDescent="0.3">
      <c r="N14" s="116" t="str">
        <f>O3</f>
        <v>Phone via e-consult</v>
      </c>
      <c r="O14" s="388">
        <f>'Sensitivity Analysis'!BO19</f>
        <v>0.9</v>
      </c>
      <c r="P14" s="116"/>
    </row>
    <row r="17" spans="14:14" x14ac:dyDescent="0.3">
      <c r="N17" s="13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User Inputs</vt:lpstr>
      <vt:lpstr>Upper and Lower Limits</vt:lpstr>
      <vt:lpstr>Sensitivity Analysis</vt:lpstr>
      <vt:lpstr>Output - Chart</vt:lpstr>
      <vt:lpstr>AltCon_txt</vt:lpstr>
      <vt:lpstr>baseline_estimate</vt:lpstr>
      <vt:lpstr>chrt_legend</vt:lpstr>
      <vt:lpstr>chrt_legend_format</vt:lpstr>
      <vt:lpstr>chrt_xaxis</vt:lpstr>
      <vt:lpstr>chrt_xaxis_format</vt:lpstr>
      <vt:lpstr>default_range</vt:lpstr>
      <vt:lpstr>legend_txt</vt:lpstr>
      <vt:lpstr>List_Models</vt:lpstr>
      <vt:lpstr>List_variables</vt:lpstr>
      <vt:lpstr>List_YesNo</vt:lpstr>
      <vt:lpstr>Paste_cell</vt:lpstr>
      <vt:lpstr>X_axis_txt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 Salisbury</dc:creator>
  <cp:lastModifiedBy>Helen Bolton</cp:lastModifiedBy>
  <cp:lastPrinted>2019-03-25T09:43:15Z</cp:lastPrinted>
  <dcterms:created xsi:type="dcterms:W3CDTF">2018-11-06T16:44:42Z</dcterms:created>
  <dcterms:modified xsi:type="dcterms:W3CDTF">2021-05-04T08:38:59Z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8f13dc-fde9-4565-8fe8-16daab2c2cf7_Enabled">
    <vt:lpwstr>True</vt:lpwstr>
  </property>
  <property fmtid="{D5CDD505-2E9C-101B-9397-08002B2CF9AE}" pid="3" name="MSIP_Label_7f8f13dc-fde9-4565-8fe8-16daab2c2cf7_SiteId">
    <vt:lpwstr>b2e47f30-cd7d-4a4e-a5da-b18cf1a4151b</vt:lpwstr>
  </property>
  <property fmtid="{D5CDD505-2E9C-101B-9397-08002B2CF9AE}" pid="4" name="MSIP_Label_7f8f13dc-fde9-4565-8fe8-16daab2c2cf7_Owner">
    <vt:lpwstr>epcs@bristol.ac.uk</vt:lpwstr>
  </property>
  <property fmtid="{D5CDD505-2E9C-101B-9397-08002B2CF9AE}" pid="5" name="MSIP_Label_7f8f13dc-fde9-4565-8fe8-16daab2c2cf7_SetDate">
    <vt:lpwstr>2019-04-16T14:38:07.8821410Z</vt:lpwstr>
  </property>
  <property fmtid="{D5CDD505-2E9C-101B-9397-08002B2CF9AE}" pid="6" name="MSIP_Label_7f8f13dc-fde9-4565-8fe8-16daab2c2cf7_Name">
    <vt:lpwstr>Not classifiable or in progress</vt:lpwstr>
  </property>
  <property fmtid="{D5CDD505-2E9C-101B-9397-08002B2CF9AE}" pid="7" name="MSIP_Label_7f8f13dc-fde9-4565-8fe8-16daab2c2cf7_Application">
    <vt:lpwstr>Microsoft Azure Information Protection</vt:lpwstr>
  </property>
  <property fmtid="{D5CDD505-2E9C-101B-9397-08002B2CF9AE}" pid="8" name="MSIP_Label_7f8f13dc-fde9-4565-8fe8-16daab2c2cf7_Extended_MSFT_Method">
    <vt:lpwstr>Manual</vt:lpwstr>
  </property>
  <property fmtid="{D5CDD505-2E9C-101B-9397-08002B2CF9AE}" pid="9" name="Sensitivity">
    <vt:lpwstr>Not classifiable or in progress</vt:lpwstr>
  </property>
</Properties>
</file>